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aPasta_de_trabalho"/>
  <bookViews>
    <workbookView xWindow="21225" yWindow="21075" windowWidth="12120" windowHeight="8925" tabRatio="938" activeTab="4"/>
  </bookViews>
  <sheets>
    <sheet name="Dados" sheetId="35" r:id="rId1"/>
    <sheet name="Efetivo" sheetId="20" r:id="rId2"/>
    <sheet name="PF" sheetId="43" r:id="rId3"/>
    <sheet name="Benefícios" sheetId="28" r:id="rId4"/>
    <sheet name="Uniforme e EPI" sheetId="26" r:id="rId5"/>
    <sheet name="Material" sheetId="27" r:id="rId6"/>
    <sheet name="DE" sheetId="38" r:id="rId7"/>
    <sheet name="DOV" sheetId="29" r:id="rId8"/>
    <sheet name="DV" sheetId="25" r:id="rId9"/>
    <sheet name="DOE_h" sheetId="37" state="hidden" r:id="rId10"/>
    <sheet name="DG" sheetId="40" r:id="rId11"/>
    <sheet name="E S" sheetId="23" r:id="rId12"/>
    <sheet name="MC" sheetId="24" r:id="rId13"/>
    <sheet name="ADII" sheetId="42" r:id="rId14"/>
    <sheet name="Resumo" sheetId="22" r:id="rId15"/>
    <sheet name="Consolidado_Geral" sheetId="32" r:id="rId16"/>
    <sheet name="Consolidado_A" sheetId="45" state="hidden" r:id="rId17"/>
    <sheet name="Simulador" sheetId="44" state="hidden" r:id="rId18"/>
  </sheets>
  <definedNames>
    <definedName name="_xlnm._FilterDatabase" localSheetId="13" hidden="1">ADII!$A$1:$K$77</definedName>
    <definedName name="_xlnm._FilterDatabase" localSheetId="8" hidden="1">DV!$B$12:$K$337</definedName>
    <definedName name="_xlnm.Print_Area" localSheetId="13">ADII!$B$4:$J$52</definedName>
    <definedName name="_xlnm.Print_Area" localSheetId="16">Consolidado_A!$A$2:$M$195</definedName>
    <definedName name="_xlnm.Print_Area" localSheetId="15">Consolidado_Geral!$A$2:$M$195</definedName>
    <definedName name="_xlnm.Print_Area" localSheetId="6">DE!$B$4:$S$462</definedName>
    <definedName name="_xlnm.Print_Area" localSheetId="10">DG!$B$4:$I$88</definedName>
    <definedName name="_xlnm.Print_Area" localSheetId="7">DOV!$B$4:$R$241</definedName>
    <definedName name="_xlnm.Print_Area" localSheetId="8">DV!$B$4:$S$337</definedName>
    <definedName name="_xlnm.Print_Area" localSheetId="11">'E S'!$C$4:$F$50</definedName>
    <definedName name="_xlnm.Print_Area" localSheetId="1">Efetivo!$A$4:$BO$59</definedName>
    <definedName name="_xlnm.Print_Area" localSheetId="5">Material!$A$2:$O$612</definedName>
    <definedName name="_xlnm.Print_Area" localSheetId="12">MC!$B$4:$D$16</definedName>
    <definedName name="_xlnm.Print_Area" localSheetId="14">Resumo!$B$6:$Q$76</definedName>
    <definedName name="_xlnm.Print_Area" localSheetId="4">'Uniforme e EPI'!$B$4:$J$52</definedName>
    <definedName name="Despesas">Efetivo!#REF!</definedName>
    <definedName name="Efetivo">Efetivo!$B$10:$Z$19</definedName>
    <definedName name="HORARIO">Efetivo!$BJ$738:$BM$756</definedName>
    <definedName name="Não">Efetivo!#REF!</definedName>
    <definedName name="REPOUSO">Efetivo!$BP$13:$BW$13</definedName>
    <definedName name="SALARIOS">Efetivo!$BN$738:$BP$749</definedName>
    <definedName name="SGCO_Valor_Global" localSheetId="16">Consolidado_A!$L$8</definedName>
    <definedName name="SGCO_Valor_Global">Consolidado_Geral!$L$8</definedName>
    <definedName name="Sim">Efetivo!#REF!</definedName>
    <definedName name="_xlnm.Print_Titles" localSheetId="13">ADII!$10:$11</definedName>
    <definedName name="_xlnm.Print_Titles" localSheetId="3">Benefícios!$A:$F</definedName>
    <definedName name="_xlnm.Print_Titles" localSheetId="16">Consolidado_A!$2:$11</definedName>
    <definedName name="_xlnm.Print_Titles" localSheetId="15">Consolidado_Geral!$2:$11</definedName>
    <definedName name="_xlnm.Print_Titles" localSheetId="6">DE!$4:$7</definedName>
    <definedName name="_xlnm.Print_Titles" localSheetId="10">DG!$4:$10</definedName>
    <definedName name="_xlnm.Print_Titles" localSheetId="8">DV!$4:$6</definedName>
    <definedName name="_xlnm.Print_Titles" localSheetId="5">Material!$5:$9</definedName>
    <definedName name="_xlnm.Print_Titles" localSheetId="4">'Uniforme e EPI'!$10:$11</definedName>
  </definedNames>
  <calcPr calcId="125725"/>
</workbook>
</file>

<file path=xl/calcChain.xml><?xml version="1.0" encoding="utf-8"?>
<calcChain xmlns="http://schemas.openxmlformats.org/spreadsheetml/2006/main">
  <c r="G134" i="32"/>
  <c r="G133" s="1"/>
  <c r="H386" i="27" s="1"/>
  <c r="J386" s="1"/>
  <c r="L386" s="1"/>
  <c r="N386" s="1"/>
  <c r="O133" i="32"/>
  <c r="R6" i="29"/>
  <c r="L21" s="1"/>
  <c r="N21" s="1"/>
  <c r="D18" i="26"/>
  <c r="H16" i="28"/>
  <c r="H17" s="1"/>
  <c r="H18" s="1"/>
  <c r="H19" s="1"/>
  <c r="H20" s="1"/>
  <c r="H21" s="1"/>
  <c r="H22" s="1"/>
  <c r="H23" s="1"/>
  <c r="H24" s="1"/>
  <c r="H15"/>
  <c r="AU16" i="20"/>
  <c r="AU17" s="1"/>
  <c r="AU18" s="1"/>
  <c r="AU19" s="1"/>
  <c r="AU20" s="1"/>
  <c r="AU21" s="1"/>
  <c r="AU22" s="1"/>
  <c r="AU23" s="1"/>
  <c r="AU24" s="1"/>
  <c r="AU15"/>
  <c r="AS15"/>
  <c r="AS16" s="1"/>
  <c r="S9" i="43"/>
  <c r="S10" s="1"/>
  <c r="S11" s="1"/>
  <c r="S12" s="1"/>
  <c r="S13" s="1"/>
  <c r="S14" s="1"/>
  <c r="S15" s="1"/>
  <c r="S16" s="1"/>
  <c r="S17" s="1"/>
  <c r="S18" s="1"/>
  <c r="B9"/>
  <c r="B10" s="1"/>
  <c r="B11" s="1"/>
  <c r="B12" s="1"/>
  <c r="B13" s="1"/>
  <c r="B14" s="1"/>
  <c r="B15" s="1"/>
  <c r="B16" s="1"/>
  <c r="B17" s="1"/>
  <c r="B18" s="1"/>
  <c r="M15" i="20"/>
  <c r="M16" s="1"/>
  <c r="V10" i="43"/>
  <c r="CS16" i="20"/>
  <c r="AC16"/>
  <c r="AO16"/>
  <c r="V11" i="43"/>
  <c r="CS17" i="20"/>
  <c r="AC17"/>
  <c r="AO17"/>
  <c r="V12" i="43"/>
  <c r="CS18" i="20"/>
  <c r="AC18"/>
  <c r="AO18"/>
  <c r="V7" i="43"/>
  <c r="CA13" i="20"/>
  <c r="CB13"/>
  <c r="CS13"/>
  <c r="AC13"/>
  <c r="AO13"/>
  <c r="V8" i="43"/>
  <c r="CA14" i="20"/>
  <c r="CS14"/>
  <c r="AC14" s="1"/>
  <c r="AO14"/>
  <c r="V9" i="43"/>
  <c r="CS15" i="20"/>
  <c r="AC15" s="1"/>
  <c r="G18" i="32" s="1"/>
  <c r="AO15" i="20"/>
  <c r="V13" i="43"/>
  <c r="CS19" i="20"/>
  <c r="AC19"/>
  <c r="AO19"/>
  <c r="AG16"/>
  <c r="BZ14"/>
  <c r="L14" i="28"/>
  <c r="N14" s="1"/>
  <c r="E59" i="20"/>
  <c r="O13"/>
  <c r="T13"/>
  <c r="D13" i="28" s="1"/>
  <c r="O14" i="20"/>
  <c r="T14" s="1"/>
  <c r="O15"/>
  <c r="U57" i="28"/>
  <c r="CS20" i="20"/>
  <c r="CS21"/>
  <c r="AC21" s="1"/>
  <c r="CS22"/>
  <c r="CS23"/>
  <c r="AC23" s="1"/>
  <c r="CS24"/>
  <c r="AC24"/>
  <c r="CS25"/>
  <c r="CS26"/>
  <c r="AC26" s="1"/>
  <c r="G29" i="32" s="1"/>
  <c r="CS27" i="20"/>
  <c r="AC27" s="1"/>
  <c r="AD27" s="1"/>
  <c r="CS28"/>
  <c r="CS29"/>
  <c r="CS30"/>
  <c r="CS31"/>
  <c r="CS32"/>
  <c r="AC32" s="1"/>
  <c r="G35" i="32" s="1"/>
  <c r="CS33" i="20"/>
  <c r="CS34"/>
  <c r="CS35"/>
  <c r="AC35" s="1"/>
  <c r="CS36"/>
  <c r="CS37"/>
  <c r="CS38"/>
  <c r="CS39"/>
  <c r="AC39"/>
  <c r="G42" i="32" s="1"/>
  <c r="CS40" i="20"/>
  <c r="AC40" s="1"/>
  <c r="CS41"/>
  <c r="AC41" s="1"/>
  <c r="G44" i="32" s="1"/>
  <c r="CS42" i="20"/>
  <c r="AC42" s="1"/>
  <c r="CS43"/>
  <c r="AC43"/>
  <c r="CS44"/>
  <c r="AC44"/>
  <c r="CS45"/>
  <c r="AC45"/>
  <c r="CS46"/>
  <c r="CS47"/>
  <c r="CS48"/>
  <c r="AC48"/>
  <c r="CS49"/>
  <c r="CS50"/>
  <c r="CS51"/>
  <c r="AC51"/>
  <c r="AD51" s="1"/>
  <c r="CS52"/>
  <c r="AC52" s="1"/>
  <c r="CS53"/>
  <c r="CS54"/>
  <c r="CS55"/>
  <c r="CS56"/>
  <c r="AC56"/>
  <c r="CS57"/>
  <c r="CN14"/>
  <c r="CN15"/>
  <c r="CN16"/>
  <c r="CN25"/>
  <c r="CN26"/>
  <c r="CN27"/>
  <c r="CN28"/>
  <c r="T28"/>
  <c r="CR28" s="1"/>
  <c r="CN29"/>
  <c r="CN30"/>
  <c r="CN31"/>
  <c r="CN32"/>
  <c r="CN33"/>
  <c r="CN34"/>
  <c r="CN35"/>
  <c r="CN36"/>
  <c r="T36"/>
  <c r="CR36"/>
  <c r="CN37"/>
  <c r="CN38"/>
  <c r="CN39"/>
  <c r="T39"/>
  <c r="CP39"/>
  <c r="CN40"/>
  <c r="CN41"/>
  <c r="CN42"/>
  <c r="CN43"/>
  <c r="CN44"/>
  <c r="T44"/>
  <c r="CR44"/>
  <c r="CN45"/>
  <c r="CN46"/>
  <c r="CN47"/>
  <c r="T47"/>
  <c r="CP47"/>
  <c r="CN48"/>
  <c r="CN49"/>
  <c r="CN50"/>
  <c r="CN51"/>
  <c r="CN52"/>
  <c r="CN53"/>
  <c r="CN54"/>
  <c r="CN55"/>
  <c r="T55"/>
  <c r="CP55"/>
  <c r="CN56"/>
  <c r="CN57"/>
  <c r="CP57"/>
  <c r="CR57"/>
  <c r="J13"/>
  <c r="U13"/>
  <c r="BY13" s="1"/>
  <c r="AG13"/>
  <c r="AI13"/>
  <c r="AJ13"/>
  <c r="AP13"/>
  <c r="AR13"/>
  <c r="AT13"/>
  <c r="CN13"/>
  <c r="AC20"/>
  <c r="AC22"/>
  <c r="AC25"/>
  <c r="G28" i="32"/>
  <c r="AC28" i="20"/>
  <c r="AC29"/>
  <c r="AD29" s="1"/>
  <c r="AC30"/>
  <c r="AC31"/>
  <c r="AD31"/>
  <c r="AC33"/>
  <c r="G36" i="32"/>
  <c r="AC34" i="20"/>
  <c r="AC36"/>
  <c r="AC37"/>
  <c r="AD37"/>
  <c r="AC38"/>
  <c r="AD45"/>
  <c r="AC46"/>
  <c r="AC47"/>
  <c r="AD47" s="1"/>
  <c r="AC49"/>
  <c r="G52" i="32"/>
  <c r="AC50" i="20"/>
  <c r="AC53"/>
  <c r="AD53"/>
  <c r="AC54"/>
  <c r="AC55"/>
  <c r="AD55" s="1"/>
  <c r="AI15"/>
  <c r="AG15"/>
  <c r="BT6"/>
  <c r="AI17"/>
  <c r="AG17"/>
  <c r="AG18"/>
  <c r="AI19"/>
  <c r="AK19" s="1"/>
  <c r="AG19"/>
  <c r="AG20"/>
  <c r="AI21"/>
  <c r="AK21" s="1"/>
  <c r="AG21"/>
  <c r="AG22"/>
  <c r="AI23"/>
  <c r="AK23" s="1"/>
  <c r="AG23"/>
  <c r="AG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47"/>
  <c r="BQ48"/>
  <c r="BQ49"/>
  <c r="BQ50"/>
  <c r="BQ51"/>
  <c r="BQ52"/>
  <c r="BQ53"/>
  <c r="BQ54"/>
  <c r="BQ55"/>
  <c r="BQ56"/>
  <c r="BS25"/>
  <c r="BS26"/>
  <c r="BS27"/>
  <c r="BS28"/>
  <c r="BS29"/>
  <c r="BS30"/>
  <c r="BS31"/>
  <c r="BS32"/>
  <c r="BS33"/>
  <c r="BS34"/>
  <c r="BS35"/>
  <c r="BS36"/>
  <c r="BS37"/>
  <c r="BS38"/>
  <c r="BS39"/>
  <c r="BS40"/>
  <c r="BS41"/>
  <c r="BS42"/>
  <c r="BS43"/>
  <c r="BS44"/>
  <c r="BS45"/>
  <c r="BS46"/>
  <c r="BS47"/>
  <c r="BS48"/>
  <c r="BS49"/>
  <c r="BS50"/>
  <c r="BS51"/>
  <c r="BS52"/>
  <c r="BS53"/>
  <c r="BS54"/>
  <c r="BS55"/>
  <c r="BS56"/>
  <c r="U15"/>
  <c r="BY15"/>
  <c r="U16"/>
  <c r="BY16" s="1"/>
  <c r="BY25"/>
  <c r="BY26"/>
  <c r="BY27"/>
  <c r="BY28"/>
  <c r="BY29"/>
  <c r="BY30"/>
  <c r="BY31"/>
  <c r="BY32"/>
  <c r="BY33"/>
  <c r="BY34"/>
  <c r="BY35"/>
  <c r="BY36"/>
  <c r="BY37"/>
  <c r="BY38"/>
  <c r="BY39"/>
  <c r="BY40"/>
  <c r="BY41"/>
  <c r="BY42"/>
  <c r="BY43"/>
  <c r="BY44"/>
  <c r="BY45"/>
  <c r="BY46"/>
  <c r="BY47"/>
  <c r="BY48"/>
  <c r="BY49"/>
  <c r="BY50"/>
  <c r="BY51"/>
  <c r="BY52"/>
  <c r="BY53"/>
  <c r="BY54"/>
  <c r="BY55"/>
  <c r="BY56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C43" i="22"/>
  <c r="E61" i="45"/>
  <c r="G61"/>
  <c r="I19"/>
  <c r="AO20" i="20"/>
  <c r="V14" i="43"/>
  <c r="AO21" i="20"/>
  <c r="V15" i="43"/>
  <c r="AO22" i="20"/>
  <c r="V16" i="43"/>
  <c r="AO23" i="20"/>
  <c r="V17" i="43"/>
  <c r="AO24" i="20"/>
  <c r="V18" i="43"/>
  <c r="BE25" i="20"/>
  <c r="BE26"/>
  <c r="BE27"/>
  <c r="BE28"/>
  <c r="BE29"/>
  <c r="BE30"/>
  <c r="BE31"/>
  <c r="BE32"/>
  <c r="BF32" s="1"/>
  <c r="BE33"/>
  <c r="BF33" s="1"/>
  <c r="BE34"/>
  <c r="BE35"/>
  <c r="BF35" s="1"/>
  <c r="BE36"/>
  <c r="BE37"/>
  <c r="BF37" s="1"/>
  <c r="BE38"/>
  <c r="BE39"/>
  <c r="BE40"/>
  <c r="BF40" s="1"/>
  <c r="BE41"/>
  <c r="BF41" s="1"/>
  <c r="BE42"/>
  <c r="BE43"/>
  <c r="BE44"/>
  <c r="BE45"/>
  <c r="BE46"/>
  <c r="BE47"/>
  <c r="BE48"/>
  <c r="BF48" s="1"/>
  <c r="BE49"/>
  <c r="BF49"/>
  <c r="BE50"/>
  <c r="BE51"/>
  <c r="BE52"/>
  <c r="BE53"/>
  <c r="BF53"/>
  <c r="BE54"/>
  <c r="BE55"/>
  <c r="BE56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AK25"/>
  <c r="AL25" s="1"/>
  <c r="AK26"/>
  <c r="H29" i="32"/>
  <c r="AK27" i="20"/>
  <c r="H30" i="32" s="1"/>
  <c r="AK28" i="20"/>
  <c r="AK29"/>
  <c r="H32" i="32"/>
  <c r="AK30" i="20"/>
  <c r="H33" i="32" s="1"/>
  <c r="AK31" i="20"/>
  <c r="H34" i="32"/>
  <c r="AK32" i="20"/>
  <c r="AK33"/>
  <c r="AL33"/>
  <c r="AK34"/>
  <c r="H37" i="32" s="1"/>
  <c r="AK35" i="20"/>
  <c r="H38" i="32"/>
  <c r="AK36" i="20"/>
  <c r="AK37"/>
  <c r="H40" i="32" s="1"/>
  <c r="AK38" i="20"/>
  <c r="H41" i="32"/>
  <c r="AK39" i="20"/>
  <c r="AL39" s="1"/>
  <c r="AK40"/>
  <c r="H43" i="32"/>
  <c r="AK41" i="20"/>
  <c r="H44" i="32" s="1"/>
  <c r="AK42" i="20"/>
  <c r="AK43"/>
  <c r="AL43" s="1"/>
  <c r="AK44"/>
  <c r="H47" i="32"/>
  <c r="AK45" i="20"/>
  <c r="H48" i="32" s="1"/>
  <c r="AK46" i="20"/>
  <c r="H49" i="32"/>
  <c r="AK47" i="20"/>
  <c r="H50" i="32" s="1"/>
  <c r="AK48" i="20"/>
  <c r="AK49"/>
  <c r="AL49"/>
  <c r="AK50"/>
  <c r="H53" i="32" s="1"/>
  <c r="AK51" i="20"/>
  <c r="H54" i="32"/>
  <c r="AK52" i="20"/>
  <c r="H55" i="32" s="1"/>
  <c r="AK53" i="20"/>
  <c r="H56" i="32"/>
  <c r="AK54" i="20"/>
  <c r="AK55"/>
  <c r="H58" i="32"/>
  <c r="AK56" i="20"/>
  <c r="H59" i="32" s="1"/>
  <c r="AG14" i="20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U14"/>
  <c r="BY1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CA25"/>
  <c r="BZ25"/>
  <c r="L25" i="28"/>
  <c r="CA26" i="20"/>
  <c r="AW26" s="1"/>
  <c r="CD26" s="1"/>
  <c r="CA27"/>
  <c r="BZ27"/>
  <c r="L27" i="28" s="1"/>
  <c r="N27" s="1"/>
  <c r="CA28" i="20"/>
  <c r="CA29"/>
  <c r="BZ29" s="1"/>
  <c r="L29" i="28" s="1"/>
  <c r="CA30" i="20"/>
  <c r="CB30" s="1"/>
  <c r="CA31"/>
  <c r="BZ31" s="1"/>
  <c r="L31" i="28" s="1"/>
  <c r="N31" s="1"/>
  <c r="CA32" i="20"/>
  <c r="CE32" s="1"/>
  <c r="CF32" s="1"/>
  <c r="CG32" s="1"/>
  <c r="CB32"/>
  <c r="CA33"/>
  <c r="BZ33" s="1"/>
  <c r="L33" i="28" s="1"/>
  <c r="N33" s="1"/>
  <c r="CA34" i="20"/>
  <c r="CA35"/>
  <c r="BZ35" s="1"/>
  <c r="L35" i="28" s="1"/>
  <c r="N35" s="1"/>
  <c r="CA36" i="20"/>
  <c r="CA37"/>
  <c r="BZ37" s="1"/>
  <c r="L37" i="28" s="1"/>
  <c r="CA38" i="20"/>
  <c r="CB38" s="1"/>
  <c r="CA39"/>
  <c r="BZ39" s="1"/>
  <c r="L39" i="28" s="1"/>
  <c r="CA40" i="20"/>
  <c r="CA41"/>
  <c r="CA42"/>
  <c r="CA43"/>
  <c r="BZ43"/>
  <c r="L43" i="28"/>
  <c r="N43" s="1"/>
  <c r="CA44" i="20"/>
  <c r="CA45"/>
  <c r="BZ45" s="1"/>
  <c r="L45" i="28" s="1"/>
  <c r="CA46" i="20"/>
  <c r="CA47"/>
  <c r="BZ47" s="1"/>
  <c r="L47" i="28" s="1"/>
  <c r="N47" s="1"/>
  <c r="CA48" i="20"/>
  <c r="CB48" s="1"/>
  <c r="CE48" s="1"/>
  <c r="CF48" s="1"/>
  <c r="CG48" s="1"/>
  <c r="CA49"/>
  <c r="CA50"/>
  <c r="CA51"/>
  <c r="BZ51"/>
  <c r="L51" i="28" s="1"/>
  <c r="CA52" i="20"/>
  <c r="CA53"/>
  <c r="BZ53"/>
  <c r="L53" i="28" s="1"/>
  <c r="N53" s="1"/>
  <c r="CA54" i="20"/>
  <c r="I17" i="45"/>
  <c r="F2"/>
  <c r="D5"/>
  <c r="I18"/>
  <c r="G20" i="32"/>
  <c r="I20" i="45"/>
  <c r="I21"/>
  <c r="I22"/>
  <c r="I23"/>
  <c r="I24"/>
  <c r="I25"/>
  <c r="I26"/>
  <c r="I27"/>
  <c r="T25" i="20"/>
  <c r="CP25" s="1"/>
  <c r="AO25"/>
  <c r="I28" i="45"/>
  <c r="BL25" i="20"/>
  <c r="T26"/>
  <c r="CR26" s="1"/>
  <c r="AO26"/>
  <c r="I29" i="45"/>
  <c r="BL26" i="20"/>
  <c r="T27"/>
  <c r="AO27"/>
  <c r="I30" i="45"/>
  <c r="BL27" i="20"/>
  <c r="D28" i="28"/>
  <c r="CP28" i="20"/>
  <c r="AO28"/>
  <c r="I31" i="45" s="1"/>
  <c r="BL28" i="20"/>
  <c r="T29"/>
  <c r="CP29"/>
  <c r="G32" i="32"/>
  <c r="AO29" i="20"/>
  <c r="I32" i="45"/>
  <c r="BL29" i="20"/>
  <c r="T30"/>
  <c r="CR30" s="1"/>
  <c r="AO30"/>
  <c r="I33" i="45"/>
  <c r="BL30" i="20"/>
  <c r="T31"/>
  <c r="D31" i="28"/>
  <c r="AO31" i="20"/>
  <c r="I34" i="45" s="1"/>
  <c r="BL31" i="20"/>
  <c r="T32"/>
  <c r="CP32" s="1"/>
  <c r="CR32"/>
  <c r="AO32"/>
  <c r="I35" i="45"/>
  <c r="BL32" i="20"/>
  <c r="T33"/>
  <c r="CP33" s="1"/>
  <c r="AO33"/>
  <c r="I36" i="45"/>
  <c r="BL33" i="20"/>
  <c r="T34"/>
  <c r="CR34"/>
  <c r="AO34"/>
  <c r="I37" i="45" s="1"/>
  <c r="BL34" i="20"/>
  <c r="T35"/>
  <c r="CR35" s="1"/>
  <c r="CP35"/>
  <c r="AO35"/>
  <c r="I38" i="45"/>
  <c r="BL35" i="20"/>
  <c r="CP36"/>
  <c r="F39" i="32"/>
  <c r="AO36" i="20"/>
  <c r="I39" i="45"/>
  <c r="BL36" i="20"/>
  <c r="T37"/>
  <c r="CP37"/>
  <c r="G40" i="32"/>
  <c r="AO37" i="20"/>
  <c r="I40" i="45" s="1"/>
  <c r="BL37" i="20"/>
  <c r="T38"/>
  <c r="CR38" s="1"/>
  <c r="AO38"/>
  <c r="I41" i="45"/>
  <c r="BL38" i="20"/>
  <c r="F42" i="45"/>
  <c r="CR39" i="20"/>
  <c r="AO39"/>
  <c r="I42" i="45"/>
  <c r="BL39" i="20"/>
  <c r="T40"/>
  <c r="AO40"/>
  <c r="I43" i="45"/>
  <c r="BL40" i="20"/>
  <c r="T41"/>
  <c r="CP41"/>
  <c r="AO41"/>
  <c r="I44" i="45" s="1"/>
  <c r="BL41" i="20"/>
  <c r="T42"/>
  <c r="CR42"/>
  <c r="AO42"/>
  <c r="I45" i="45" s="1"/>
  <c r="BL42" i="20"/>
  <c r="T43"/>
  <c r="CP43" s="1"/>
  <c r="AO43"/>
  <c r="I46" i="45"/>
  <c r="BL43" i="20"/>
  <c r="CP44"/>
  <c r="F47" i="32"/>
  <c r="AO44" i="20"/>
  <c r="I47" i="45"/>
  <c r="BL44" i="20"/>
  <c r="T45"/>
  <c r="CP45"/>
  <c r="G48" i="32"/>
  <c r="AO45" i="20"/>
  <c r="I48" i="45" s="1"/>
  <c r="BL45" i="20"/>
  <c r="T46"/>
  <c r="CR46" s="1"/>
  <c r="AO46"/>
  <c r="I49" i="45"/>
  <c r="BL46" i="20"/>
  <c r="CR47"/>
  <c r="F50" i="32"/>
  <c r="AO47" i="20"/>
  <c r="I50" i="45"/>
  <c r="BL47" i="20"/>
  <c r="T48"/>
  <c r="CR48"/>
  <c r="AO48"/>
  <c r="I51" i="45" s="1"/>
  <c r="BL48" i="20"/>
  <c r="T49"/>
  <c r="CP49"/>
  <c r="AO49"/>
  <c r="I52" i="45" s="1"/>
  <c r="BL49" i="20"/>
  <c r="T50"/>
  <c r="AO50"/>
  <c r="I53" i="45" s="1"/>
  <c r="BL50" i="20"/>
  <c r="T51"/>
  <c r="F54" i="32" s="1"/>
  <c r="G54"/>
  <c r="AO51" i="20"/>
  <c r="I54" i="45"/>
  <c r="BL51" i="20"/>
  <c r="T52"/>
  <c r="AO52"/>
  <c r="I55" i="45"/>
  <c r="BL52" i="20"/>
  <c r="T53"/>
  <c r="CP53"/>
  <c r="G56" i="32"/>
  <c r="AO53" i="20"/>
  <c r="I56" i="45" s="1"/>
  <c r="BL53" i="20"/>
  <c r="T54"/>
  <c r="CR54" s="1"/>
  <c r="AO54"/>
  <c r="I57" i="45"/>
  <c r="BL54" i="20"/>
  <c r="CR55"/>
  <c r="F58" i="32"/>
  <c r="G58"/>
  <c r="AO55" i="20"/>
  <c r="I58" i="45" s="1"/>
  <c r="BL55" i="20"/>
  <c r="T56"/>
  <c r="AO56"/>
  <c r="I59" i="45" s="1"/>
  <c r="BL56" i="20"/>
  <c r="G70" i="45"/>
  <c r="G134"/>
  <c r="G72" s="1"/>
  <c r="G75"/>
  <c r="G82"/>
  <c r="G83"/>
  <c r="G84"/>
  <c r="G85"/>
  <c r="G86"/>
  <c r="G91"/>
  <c r="BZ26" i="20"/>
  <c r="L26" i="28" s="1"/>
  <c r="N26" s="1"/>
  <c r="BZ41" i="20"/>
  <c r="L41" i="28" s="1"/>
  <c r="N41" s="1"/>
  <c r="BZ49" i="20"/>
  <c r="L49" i="28" s="1"/>
  <c r="D26"/>
  <c r="D30"/>
  <c r="D32"/>
  <c r="D36"/>
  <c r="D38"/>
  <c r="D44"/>
  <c r="O25" i="38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M25"/>
  <c r="M26"/>
  <c r="M27"/>
  <c r="M28"/>
  <c r="M29"/>
  <c r="M30"/>
  <c r="M31"/>
  <c r="M32"/>
  <c r="S32" s="1"/>
  <c r="M33"/>
  <c r="M34"/>
  <c r="M35"/>
  <c r="M36"/>
  <c r="M37"/>
  <c r="M38"/>
  <c r="M39"/>
  <c r="M40"/>
  <c r="S40" s="1"/>
  <c r="M41"/>
  <c r="M42"/>
  <c r="M43"/>
  <c r="M44"/>
  <c r="M45"/>
  <c r="M46"/>
  <c r="M47"/>
  <c r="M48"/>
  <c r="S48" s="1"/>
  <c r="M49"/>
  <c r="M50"/>
  <c r="M51"/>
  <c r="M52"/>
  <c r="M53"/>
  <c r="M54"/>
  <c r="M55"/>
  <c r="M56"/>
  <c r="S56" s="1"/>
  <c r="M57"/>
  <c r="M58"/>
  <c r="M59"/>
  <c r="M60"/>
  <c r="M61"/>
  <c r="M62"/>
  <c r="M63"/>
  <c r="M64"/>
  <c r="S64" s="1"/>
  <c r="M65"/>
  <c r="M66"/>
  <c r="M67"/>
  <c r="M68"/>
  <c r="M69"/>
  <c r="M70"/>
  <c r="M71"/>
  <c r="M72"/>
  <c r="S72" s="1"/>
  <c r="M73"/>
  <c r="M74"/>
  <c r="M75"/>
  <c r="M76"/>
  <c r="M77"/>
  <c r="M78"/>
  <c r="M79"/>
  <c r="M80"/>
  <c r="S80" s="1"/>
  <c r="M81"/>
  <c r="M82"/>
  <c r="M83"/>
  <c r="M84"/>
  <c r="M85"/>
  <c r="M86"/>
  <c r="M87"/>
  <c r="M88"/>
  <c r="S88" s="1"/>
  <c r="M89"/>
  <c r="M90"/>
  <c r="M91"/>
  <c r="M92"/>
  <c r="M93"/>
  <c r="M94"/>
  <c r="M95"/>
  <c r="M96"/>
  <c r="S96" s="1"/>
  <c r="M97"/>
  <c r="M98"/>
  <c r="M99"/>
  <c r="M100"/>
  <c r="M101"/>
  <c r="M102"/>
  <c r="M103"/>
  <c r="M104"/>
  <c r="S104" s="1"/>
  <c r="M105"/>
  <c r="M106"/>
  <c r="M107"/>
  <c r="M108"/>
  <c r="M109"/>
  <c r="M110"/>
  <c r="M111"/>
  <c r="M112"/>
  <c r="S112" s="1"/>
  <c r="M113"/>
  <c r="M114"/>
  <c r="M115"/>
  <c r="M116"/>
  <c r="M117"/>
  <c r="M118"/>
  <c r="M119"/>
  <c r="M120"/>
  <c r="S120" s="1"/>
  <c r="M121"/>
  <c r="M122"/>
  <c r="M123"/>
  <c r="M124"/>
  <c r="M125"/>
  <c r="M126"/>
  <c r="M127"/>
  <c r="M128"/>
  <c r="S128" s="1"/>
  <c r="M129"/>
  <c r="M130"/>
  <c r="M131"/>
  <c r="M132"/>
  <c r="M133"/>
  <c r="M134"/>
  <c r="M135"/>
  <c r="M136"/>
  <c r="S136" s="1"/>
  <c r="M137"/>
  <c r="M138"/>
  <c r="M139"/>
  <c r="M140"/>
  <c r="M141"/>
  <c r="M142"/>
  <c r="M143"/>
  <c r="M144"/>
  <c r="S144" s="1"/>
  <c r="M145"/>
  <c r="M146"/>
  <c r="M147"/>
  <c r="M148"/>
  <c r="M149"/>
  <c r="M150"/>
  <c r="M151"/>
  <c r="M152"/>
  <c r="S152" s="1"/>
  <c r="M153"/>
  <c r="M154"/>
  <c r="M155"/>
  <c r="M156"/>
  <c r="M157"/>
  <c r="M158"/>
  <c r="M159"/>
  <c r="M160"/>
  <c r="S160" s="1"/>
  <c r="M161"/>
  <c r="M162"/>
  <c r="M163"/>
  <c r="M164"/>
  <c r="M165"/>
  <c r="M166"/>
  <c r="M167"/>
  <c r="M168"/>
  <c r="S168" s="1"/>
  <c r="M169"/>
  <c r="M170"/>
  <c r="M171"/>
  <c r="M172"/>
  <c r="M173"/>
  <c r="M174"/>
  <c r="M175"/>
  <c r="M176"/>
  <c r="S176" s="1"/>
  <c r="M177"/>
  <c r="M178"/>
  <c r="M179"/>
  <c r="M180"/>
  <c r="M181"/>
  <c r="M182"/>
  <c r="M183"/>
  <c r="M184"/>
  <c r="S184" s="1"/>
  <c r="M185"/>
  <c r="M186"/>
  <c r="M187"/>
  <c r="M188"/>
  <c r="M189"/>
  <c r="M190"/>
  <c r="M191"/>
  <c r="M192"/>
  <c r="S192" s="1"/>
  <c r="M193"/>
  <c r="M194"/>
  <c r="M195"/>
  <c r="M196"/>
  <c r="M197"/>
  <c r="M198"/>
  <c r="M199"/>
  <c r="M200"/>
  <c r="S200" s="1"/>
  <c r="M201"/>
  <c r="M202"/>
  <c r="M203"/>
  <c r="M204"/>
  <c r="M205"/>
  <c r="M206"/>
  <c r="M207"/>
  <c r="M208"/>
  <c r="S208" s="1"/>
  <c r="M209"/>
  <c r="M210"/>
  <c r="M211"/>
  <c r="M212"/>
  <c r="M213"/>
  <c r="M214"/>
  <c r="M215"/>
  <c r="M216"/>
  <c r="S216" s="1"/>
  <c r="M217"/>
  <c r="M218"/>
  <c r="M219"/>
  <c r="M220"/>
  <c r="M221"/>
  <c r="M222"/>
  <c r="M223"/>
  <c r="M224"/>
  <c r="S224" s="1"/>
  <c r="M225"/>
  <c r="M226"/>
  <c r="M227"/>
  <c r="M228"/>
  <c r="M229"/>
  <c r="M230"/>
  <c r="M231"/>
  <c r="M232"/>
  <c r="S232" s="1"/>
  <c r="M233"/>
  <c r="M234"/>
  <c r="M235"/>
  <c r="M236"/>
  <c r="M237"/>
  <c r="M238"/>
  <c r="M239"/>
  <c r="M240"/>
  <c r="S240" s="1"/>
  <c r="M241"/>
  <c r="M242"/>
  <c r="M243"/>
  <c r="M244"/>
  <c r="M245"/>
  <c r="M246"/>
  <c r="M247"/>
  <c r="M248"/>
  <c r="S248" s="1"/>
  <c r="M249"/>
  <c r="M250"/>
  <c r="M251"/>
  <c r="M252"/>
  <c r="M253"/>
  <c r="M254"/>
  <c r="M255"/>
  <c r="M256"/>
  <c r="S256" s="1"/>
  <c r="M257"/>
  <c r="M258"/>
  <c r="M259"/>
  <c r="M260"/>
  <c r="M261"/>
  <c r="M262"/>
  <c r="M263"/>
  <c r="M264"/>
  <c r="S264" s="1"/>
  <c r="M265"/>
  <c r="M266"/>
  <c r="M267"/>
  <c r="M268"/>
  <c r="M269"/>
  <c r="M270"/>
  <c r="M271"/>
  <c r="M272"/>
  <c r="S272" s="1"/>
  <c r="M273"/>
  <c r="M274"/>
  <c r="M275"/>
  <c r="M276"/>
  <c r="M277"/>
  <c r="M278"/>
  <c r="M279"/>
  <c r="M280"/>
  <c r="S280" s="1"/>
  <c r="M281"/>
  <c r="M282"/>
  <c r="M283"/>
  <c r="M284"/>
  <c r="M285"/>
  <c r="M286"/>
  <c r="M287"/>
  <c r="M288"/>
  <c r="S288" s="1"/>
  <c r="M289"/>
  <c r="M290"/>
  <c r="M291"/>
  <c r="M292"/>
  <c r="M293"/>
  <c r="M294"/>
  <c r="M295"/>
  <c r="M296"/>
  <c r="S296" s="1"/>
  <c r="M297"/>
  <c r="M298"/>
  <c r="M299"/>
  <c r="M300"/>
  <c r="M301"/>
  <c r="M302"/>
  <c r="M303"/>
  <c r="M304"/>
  <c r="S304" s="1"/>
  <c r="M305"/>
  <c r="M306"/>
  <c r="M307"/>
  <c r="M308"/>
  <c r="M309"/>
  <c r="M310"/>
  <c r="M311"/>
  <c r="M312"/>
  <c r="S312" s="1"/>
  <c r="M313"/>
  <c r="M314"/>
  <c r="M315"/>
  <c r="M316"/>
  <c r="M317"/>
  <c r="M318"/>
  <c r="M319"/>
  <c r="M320"/>
  <c r="S320" s="1"/>
  <c r="M321"/>
  <c r="M322"/>
  <c r="M323"/>
  <c r="M324"/>
  <c r="M325"/>
  <c r="M326"/>
  <c r="M327"/>
  <c r="M328"/>
  <c r="S328" s="1"/>
  <c r="M329"/>
  <c r="M330"/>
  <c r="M331"/>
  <c r="M332"/>
  <c r="M333"/>
  <c r="M334"/>
  <c r="M335"/>
  <c r="M336"/>
  <c r="S336" s="1"/>
  <c r="M337"/>
  <c r="M338"/>
  <c r="M339"/>
  <c r="M340"/>
  <c r="M341"/>
  <c r="M342"/>
  <c r="M343"/>
  <c r="M344"/>
  <c r="S344" s="1"/>
  <c r="M345"/>
  <c r="M346"/>
  <c r="M347"/>
  <c r="M348"/>
  <c r="M349"/>
  <c r="M350"/>
  <c r="M351"/>
  <c r="M352"/>
  <c r="S352" s="1"/>
  <c r="M353"/>
  <c r="M354"/>
  <c r="M355"/>
  <c r="M356"/>
  <c r="M357"/>
  <c r="M358"/>
  <c r="M359"/>
  <c r="M360"/>
  <c r="S360" s="1"/>
  <c r="M361"/>
  <c r="M362"/>
  <c r="M363"/>
  <c r="M364"/>
  <c r="M365"/>
  <c r="M366"/>
  <c r="M367"/>
  <c r="M368"/>
  <c r="S368" s="1"/>
  <c r="M369"/>
  <c r="M370"/>
  <c r="M371"/>
  <c r="M372"/>
  <c r="M373"/>
  <c r="M374"/>
  <c r="M375"/>
  <c r="M376"/>
  <c r="S376" s="1"/>
  <c r="M377"/>
  <c r="M378"/>
  <c r="M379"/>
  <c r="M380"/>
  <c r="M381"/>
  <c r="M382"/>
  <c r="M383"/>
  <c r="M384"/>
  <c r="S384" s="1"/>
  <c r="M385"/>
  <c r="M386"/>
  <c r="M387"/>
  <c r="M388"/>
  <c r="M389"/>
  <c r="M390"/>
  <c r="M391"/>
  <c r="M392"/>
  <c r="S392" s="1"/>
  <c r="M393"/>
  <c r="M394"/>
  <c r="M395"/>
  <c r="M396"/>
  <c r="M397"/>
  <c r="M398"/>
  <c r="M399"/>
  <c r="M400"/>
  <c r="S400" s="1"/>
  <c r="M401"/>
  <c r="M402"/>
  <c r="M403"/>
  <c r="M404"/>
  <c r="M405"/>
  <c r="M406"/>
  <c r="M407"/>
  <c r="M408"/>
  <c r="S408" s="1"/>
  <c r="M409"/>
  <c r="M410"/>
  <c r="M411"/>
  <c r="M412"/>
  <c r="M413"/>
  <c r="M414"/>
  <c r="M415"/>
  <c r="M416"/>
  <c r="S416" s="1"/>
  <c r="M417"/>
  <c r="M418"/>
  <c r="M419"/>
  <c r="M420"/>
  <c r="M421"/>
  <c r="M422"/>
  <c r="M423"/>
  <c r="M424"/>
  <c r="S424" s="1"/>
  <c r="M425"/>
  <c r="M426"/>
  <c r="M427"/>
  <c r="M428"/>
  <c r="M429"/>
  <c r="M430"/>
  <c r="M431"/>
  <c r="M432"/>
  <c r="S432" s="1"/>
  <c r="M433"/>
  <c r="M434"/>
  <c r="M435"/>
  <c r="M436"/>
  <c r="M437"/>
  <c r="M438"/>
  <c r="M439"/>
  <c r="M440"/>
  <c r="S440" s="1"/>
  <c r="M441"/>
  <c r="M442"/>
  <c r="M443"/>
  <c r="M444"/>
  <c r="M445"/>
  <c r="M446"/>
  <c r="M447"/>
  <c r="M448"/>
  <c r="S448" s="1"/>
  <c r="M449"/>
  <c r="M450"/>
  <c r="M451"/>
  <c r="M452"/>
  <c r="M453"/>
  <c r="M454"/>
  <c r="M455"/>
  <c r="M456"/>
  <c r="S456" s="1"/>
  <c r="M457"/>
  <c r="M458"/>
  <c r="M459"/>
  <c r="M460"/>
  <c r="M461"/>
  <c r="M462"/>
  <c r="O14" i="25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G126" i="45"/>
  <c r="I145" s="1"/>
  <c r="O132"/>
  <c r="G132" s="1"/>
  <c r="O133"/>
  <c r="G133" s="1"/>
  <c r="C133" s="1"/>
  <c r="F159"/>
  <c r="I8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134"/>
  <c r="B192"/>
  <c r="E194"/>
  <c r="I194"/>
  <c r="F35" i="23"/>
  <c r="G90" i="32" s="1"/>
  <c r="CA55" i="20"/>
  <c r="BZ55"/>
  <c r="L55" i="28" s="1"/>
  <c r="N55" s="1"/>
  <c r="CA56" i="20"/>
  <c r="AW56" s="1"/>
  <c r="BZ57"/>
  <c r="Y13" i="28"/>
  <c r="F14" i="23"/>
  <c r="I18"/>
  <c r="B16" i="32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O132"/>
  <c r="AJ14" i="20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H16" i="26"/>
  <c r="J16"/>
  <c r="H17"/>
  <c r="J17"/>
  <c r="H18"/>
  <c r="J18" s="1"/>
  <c r="H19"/>
  <c r="J19"/>
  <c r="H24"/>
  <c r="J24" s="1"/>
  <c r="H25"/>
  <c r="J25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D6" i="40"/>
  <c r="G70" i="32"/>
  <c r="G75"/>
  <c r="G82"/>
  <c r="G83"/>
  <c r="G84"/>
  <c r="G85"/>
  <c r="G86"/>
  <c r="G91"/>
  <c r="R26" i="20"/>
  <c r="R27"/>
  <c r="R28"/>
  <c r="R29"/>
  <c r="R31"/>
  <c r="R32"/>
  <c r="R34"/>
  <c r="R35"/>
  <c r="R36"/>
  <c r="R37"/>
  <c r="R39"/>
  <c r="R40"/>
  <c r="R42"/>
  <c r="R43"/>
  <c r="R44"/>
  <c r="R45"/>
  <c r="R47"/>
  <c r="R48"/>
  <c r="R50"/>
  <c r="R51"/>
  <c r="R52"/>
  <c r="R53"/>
  <c r="R55"/>
  <c r="AD17"/>
  <c r="AL30"/>
  <c r="AL34"/>
  <c r="AL44"/>
  <c r="AL52"/>
  <c r="AL56"/>
  <c r="AP25"/>
  <c r="AP33"/>
  <c r="AP49"/>
  <c r="AP56"/>
  <c r="G126" i="32"/>
  <c r="I145" s="1"/>
  <c r="I22" i="23"/>
  <c r="F22"/>
  <c r="G80" i="45" s="1"/>
  <c r="D6" i="43"/>
  <c r="F23" i="23"/>
  <c r="G81" i="45" s="1"/>
  <c r="F37" i="23"/>
  <c r="AD57" i="28"/>
  <c r="AG13"/>
  <c r="I54" i="43"/>
  <c r="H54"/>
  <c r="F54"/>
  <c r="P54" s="1"/>
  <c r="AY10" i="20" s="1"/>
  <c r="G54" i="43"/>
  <c r="G55" s="1"/>
  <c r="CB25" i="20"/>
  <c r="CB26"/>
  <c r="CE26"/>
  <c r="CF26" s="1"/>
  <c r="CB28"/>
  <c r="CE28"/>
  <c r="CF28" s="1"/>
  <c r="CB34"/>
  <c r="CE34"/>
  <c r="CF34"/>
  <c r="CG34" s="1"/>
  <c r="CB36"/>
  <c r="CE36"/>
  <c r="CF36"/>
  <c r="CG36" s="1"/>
  <c r="CB42"/>
  <c r="CE42"/>
  <c r="CF42"/>
  <c r="CB44"/>
  <c r="CE44" s="1"/>
  <c r="CF44" s="1"/>
  <c r="CB50"/>
  <c r="CE50" s="1"/>
  <c r="CF50" s="1"/>
  <c r="CB52"/>
  <c r="CE52" s="1"/>
  <c r="CF52" s="1"/>
  <c r="CB54"/>
  <c r="CB56"/>
  <c r="CE56"/>
  <c r="CF56" s="1"/>
  <c r="CG56" s="1"/>
  <c r="V19" i="43"/>
  <c r="AY25" i="20"/>
  <c r="CI25" s="1"/>
  <c r="CJ25" s="1"/>
  <c r="V20" i="43"/>
  <c r="AY26" i="20"/>
  <c r="CI26" s="1"/>
  <c r="V21" i="43"/>
  <c r="AY27" i="20"/>
  <c r="V22" i="43"/>
  <c r="AY28" i="20" s="1"/>
  <c r="V23" i="43"/>
  <c r="AY29" i="20"/>
  <c r="V24" i="43"/>
  <c r="AY30" i="20" s="1"/>
  <c r="AZ30" s="1"/>
  <c r="V25" i="43"/>
  <c r="AY31" i="20"/>
  <c r="AZ31" s="1"/>
  <c r="V26" i="43"/>
  <c r="AY32" i="20" s="1"/>
  <c r="CI32" s="1"/>
  <c r="CJ32" s="1"/>
  <c r="V27" i="43"/>
  <c r="AY33" i="20"/>
  <c r="V28" i="43"/>
  <c r="AY34" i="20" s="1"/>
  <c r="J37" i="45" s="1"/>
  <c r="V29" i="43"/>
  <c r="AY35" i="20"/>
  <c r="V30" i="43"/>
  <c r="AY36" i="20" s="1"/>
  <c r="V31" i="43"/>
  <c r="AY37" i="20"/>
  <c r="V32" i="43"/>
  <c r="AY38" i="20" s="1"/>
  <c r="AZ38" s="1"/>
  <c r="V33" i="43"/>
  <c r="AY39" i="20"/>
  <c r="CI39" s="1"/>
  <c r="CJ39" s="1"/>
  <c r="V34" i="43"/>
  <c r="AY40" i="20" s="1"/>
  <c r="AZ40" s="1"/>
  <c r="V35" i="43"/>
  <c r="AY41" i="20"/>
  <c r="AZ41" s="1"/>
  <c r="V36" i="43"/>
  <c r="AY42" i="20" s="1"/>
  <c r="CI42" s="1"/>
  <c r="V37" i="43"/>
  <c r="AY43" i="20"/>
  <c r="AZ43" s="1"/>
  <c r="V38" i="43"/>
  <c r="AY44" i="20" s="1"/>
  <c r="V39" i="43"/>
  <c r="AY45" i="20"/>
  <c r="AZ45" s="1"/>
  <c r="V40" i="43"/>
  <c r="AY46" i="20" s="1"/>
  <c r="V41" i="43"/>
  <c r="AY47" i="20"/>
  <c r="V42" i="43"/>
  <c r="AY48" i="20" s="1"/>
  <c r="V43" i="43"/>
  <c r="AY49" i="20"/>
  <c r="AZ49" s="1"/>
  <c r="CI49"/>
  <c r="CJ49" s="1"/>
  <c r="V44" i="43"/>
  <c r="AY50" i="20"/>
  <c r="AZ50"/>
  <c r="V45" i="43"/>
  <c r="AY51" i="20" s="1"/>
  <c r="V46" i="43"/>
  <c r="AY52" i="20"/>
  <c r="V47" i="43"/>
  <c r="AY53" i="20" s="1"/>
  <c r="V48" i="43"/>
  <c r="AY54" i="20"/>
  <c r="V49" i="43"/>
  <c r="AY55" i="20" s="1"/>
  <c r="V50" i="43"/>
  <c r="AY56" i="20"/>
  <c r="G52" i="43"/>
  <c r="G53"/>
  <c r="Y14" i="28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F53" i="43"/>
  <c r="N5"/>
  <c r="O5" s="1"/>
  <c r="H53"/>
  <c r="I53"/>
  <c r="F52"/>
  <c r="G7" i="44"/>
  <c r="G32" s="1"/>
  <c r="G36"/>
  <c r="D16" i="24"/>
  <c r="H14" s="1"/>
  <c r="D9" i="43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7"/>
  <c r="J52"/>
  <c r="D48"/>
  <c r="D49"/>
  <c r="D50"/>
  <c r="P49"/>
  <c r="D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7"/>
  <c r="H52"/>
  <c r="H55" s="1"/>
  <c r="I52"/>
  <c r="K52"/>
  <c r="L52"/>
  <c r="M52"/>
  <c r="N52"/>
  <c r="O52"/>
  <c r="E52"/>
  <c r="P50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L29" i="29"/>
  <c r="L27"/>
  <c r="R193" i="37"/>
  <c r="L189"/>
  <c r="R191" s="1"/>
  <c r="L191"/>
  <c r="L174"/>
  <c r="N174" s="1"/>
  <c r="L175"/>
  <c r="N175" s="1"/>
  <c r="L176"/>
  <c r="N176" s="1"/>
  <c r="L177"/>
  <c r="N177" s="1"/>
  <c r="L178"/>
  <c r="N178" s="1"/>
  <c r="L179"/>
  <c r="N179" s="1"/>
  <c r="L180"/>
  <c r="N180"/>
  <c r="L181"/>
  <c r="N181" s="1"/>
  <c r="L182"/>
  <c r="N182" s="1"/>
  <c r="L183"/>
  <c r="N183" s="1"/>
  <c r="R159"/>
  <c r="L155"/>
  <c r="R157" s="1"/>
  <c r="L157"/>
  <c r="L140"/>
  <c r="N140" s="1"/>
  <c r="L141"/>
  <c r="N141" s="1"/>
  <c r="L142"/>
  <c r="N142"/>
  <c r="L143"/>
  <c r="N143" s="1"/>
  <c r="L144"/>
  <c r="N144" s="1"/>
  <c r="L145"/>
  <c r="N145" s="1"/>
  <c r="L146"/>
  <c r="N146" s="1"/>
  <c r="L147"/>
  <c r="N147" s="1"/>
  <c r="L148"/>
  <c r="N148" s="1"/>
  <c r="L149"/>
  <c r="N149" s="1"/>
  <c r="R129"/>
  <c r="L125"/>
  <c r="R127" s="1"/>
  <c r="L127"/>
  <c r="L110"/>
  <c r="N110" s="1"/>
  <c r="L111"/>
  <c r="N111" s="1"/>
  <c r="L112"/>
  <c r="N112" s="1"/>
  <c r="L113"/>
  <c r="N113" s="1"/>
  <c r="L114"/>
  <c r="N114" s="1"/>
  <c r="L115"/>
  <c r="N115" s="1"/>
  <c r="L116"/>
  <c r="N116"/>
  <c r="L117"/>
  <c r="N117" s="1"/>
  <c r="L118"/>
  <c r="N118" s="1"/>
  <c r="L119"/>
  <c r="N119" s="1"/>
  <c r="R95"/>
  <c r="L91"/>
  <c r="R93" s="1"/>
  <c r="L93"/>
  <c r="L76"/>
  <c r="N76" s="1"/>
  <c r="L77"/>
  <c r="N77" s="1"/>
  <c r="L78"/>
  <c r="N78"/>
  <c r="L79"/>
  <c r="N79" s="1"/>
  <c r="L80"/>
  <c r="N80" s="1"/>
  <c r="L81"/>
  <c r="N81" s="1"/>
  <c r="L82"/>
  <c r="N82" s="1"/>
  <c r="L83"/>
  <c r="N83" s="1"/>
  <c r="L84"/>
  <c r="N84" s="1"/>
  <c r="L85"/>
  <c r="N85" s="1"/>
  <c r="L46"/>
  <c r="N46"/>
  <c r="L47"/>
  <c r="N47" s="1"/>
  <c r="L48"/>
  <c r="N48" s="1"/>
  <c r="L49"/>
  <c r="N49" s="1"/>
  <c r="L50"/>
  <c r="N50" s="1"/>
  <c r="L51"/>
  <c r="N51" s="1"/>
  <c r="L52"/>
  <c r="N52" s="1"/>
  <c r="L53"/>
  <c r="N53" s="1"/>
  <c r="L54"/>
  <c r="N54"/>
  <c r="L55"/>
  <c r="N55" s="1"/>
  <c r="L61"/>
  <c r="R63" s="1"/>
  <c r="L63"/>
  <c r="R65"/>
  <c r="L13"/>
  <c r="AG14" i="28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BE13"/>
  <c r="BB57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H20" i="26"/>
  <c r="J20"/>
  <c r="H21"/>
  <c r="J21"/>
  <c r="H22"/>
  <c r="J22"/>
  <c r="H23"/>
  <c r="J23"/>
  <c r="F29" i="23"/>
  <c r="G87" i="32" s="1"/>
  <c r="G87" i="45"/>
  <c r="M14" i="25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AO13" i="28"/>
  <c r="AL57"/>
  <c r="AW55"/>
  <c r="BM13"/>
  <c r="BJ57"/>
  <c r="BK57"/>
  <c r="BU13"/>
  <c r="BR57"/>
  <c r="BU57"/>
  <c r="BS57"/>
  <c r="C15" i="22"/>
  <c r="D75"/>
  <c r="H16" i="42"/>
  <c r="J16" s="1"/>
  <c r="J8" s="1"/>
  <c r="L157" i="32" s="1"/>
  <c r="P71" i="22" s="1"/>
  <c r="H17" i="42"/>
  <c r="J17"/>
  <c r="H18"/>
  <c r="J18"/>
  <c r="H19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I23" i="23"/>
  <c r="I29"/>
  <c r="I37"/>
  <c r="I39"/>
  <c r="G45"/>
  <c r="H45"/>
  <c r="BU14" i="28"/>
  <c r="BU15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8"/>
  <c r="BU39"/>
  <c r="BU40"/>
  <c r="BU41"/>
  <c r="BU42"/>
  <c r="BU43"/>
  <c r="BU44"/>
  <c r="BU45"/>
  <c r="BU46"/>
  <c r="BU47"/>
  <c r="BU48"/>
  <c r="BU49"/>
  <c r="BU50"/>
  <c r="BU51"/>
  <c r="BU52"/>
  <c r="BU53"/>
  <c r="BU54"/>
  <c r="BU55"/>
  <c r="BU56"/>
  <c r="BC57"/>
  <c r="BE57"/>
  <c r="AO55"/>
  <c r="AW13"/>
  <c r="AT57"/>
  <c r="AU57"/>
  <c r="AM57"/>
  <c r="AO57" s="1"/>
  <c r="AE57"/>
  <c r="AG57" s="1"/>
  <c r="Q69" i="20"/>
  <c r="Q73"/>
  <c r="Q79"/>
  <c r="Q81" s="1"/>
  <c r="O25"/>
  <c r="O26"/>
  <c r="O28"/>
  <c r="O29"/>
  <c r="O30"/>
  <c r="O31"/>
  <c r="O32"/>
  <c r="O33"/>
  <c r="O35"/>
  <c r="O36"/>
  <c r="O37"/>
  <c r="O38"/>
  <c r="O40"/>
  <c r="O42"/>
  <c r="O43"/>
  <c r="O44"/>
  <c r="O45"/>
  <c r="O47"/>
  <c r="O48"/>
  <c r="O49"/>
  <c r="O50"/>
  <c r="O52"/>
  <c r="O53"/>
  <c r="O55"/>
  <c r="X14"/>
  <c r="X15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O56"/>
  <c r="O27"/>
  <c r="O34"/>
  <c r="O39"/>
  <c r="O41"/>
  <c r="O46"/>
  <c r="O51"/>
  <c r="O54"/>
  <c r="O94"/>
  <c r="O96" s="1"/>
  <c r="O98" s="1"/>
  <c r="AT15"/>
  <c r="AT16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14"/>
  <c r="H26" i="26"/>
  <c r="J26" s="1"/>
  <c r="H27"/>
  <c r="J27"/>
  <c r="H28"/>
  <c r="J28" s="1"/>
  <c r="H29"/>
  <c r="J29"/>
  <c r="H30"/>
  <c r="AW14" i="28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6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5"/>
  <c r="BM46"/>
  <c r="BM47"/>
  <c r="BM48"/>
  <c r="BM49"/>
  <c r="BM50"/>
  <c r="BM51"/>
  <c r="BM52"/>
  <c r="BM53"/>
  <c r="BM54"/>
  <c r="BM55"/>
  <c r="BM56"/>
  <c r="J65" i="22"/>
  <c r="J53" i="20"/>
  <c r="J52"/>
  <c r="F159" i="32"/>
  <c r="AO14" i="28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6"/>
  <c r="J50" i="20"/>
  <c r="J49"/>
  <c r="J48"/>
  <c r="J47"/>
  <c r="J45"/>
  <c r="J44"/>
  <c r="J43"/>
  <c r="J42"/>
  <c r="J40"/>
  <c r="C43" i="32"/>
  <c r="J19" i="20"/>
  <c r="C52" i="32"/>
  <c r="C51"/>
  <c r="C57"/>
  <c r="C56"/>
  <c r="B54" i="28"/>
  <c r="B53"/>
  <c r="J54" i="20"/>
  <c r="BW54"/>
  <c r="BU54"/>
  <c r="BW53"/>
  <c r="BU53"/>
  <c r="B49" i="28"/>
  <c r="B48"/>
  <c r="BW49" i="20"/>
  <c r="BU49"/>
  <c r="BW48"/>
  <c r="BU48"/>
  <c r="N13" i="37"/>
  <c r="L14"/>
  <c r="N14"/>
  <c r="L15"/>
  <c r="N15"/>
  <c r="L16"/>
  <c r="N16"/>
  <c r="L17"/>
  <c r="N17"/>
  <c r="L18"/>
  <c r="N18"/>
  <c r="L19"/>
  <c r="N19"/>
  <c r="L20"/>
  <c r="N20"/>
  <c r="L21"/>
  <c r="N21"/>
  <c r="L12"/>
  <c r="L27"/>
  <c r="L29"/>
  <c r="R29" s="1"/>
  <c r="R31"/>
  <c r="BW25" i="20"/>
  <c r="BW26"/>
  <c r="BW27"/>
  <c r="BW28"/>
  <c r="BW29"/>
  <c r="BW30"/>
  <c r="BW31"/>
  <c r="BW32"/>
  <c r="BW33"/>
  <c r="BW34"/>
  <c r="BW35"/>
  <c r="BW36"/>
  <c r="BW37"/>
  <c r="BW38"/>
  <c r="BW39"/>
  <c r="BW40"/>
  <c r="BW41"/>
  <c r="BW42"/>
  <c r="BW43"/>
  <c r="BW44"/>
  <c r="BW45"/>
  <c r="BW46"/>
  <c r="BW47"/>
  <c r="BW50"/>
  <c r="BW51"/>
  <c r="BW52"/>
  <c r="S14" i="25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H31" i="26"/>
  <c r="H32"/>
  <c r="H33"/>
  <c r="I8" i="32"/>
  <c r="R241" i="29"/>
  <c r="J237"/>
  <c r="L237"/>
  <c r="L239"/>
  <c r="R239" s="1"/>
  <c r="L222"/>
  <c r="N222"/>
  <c r="L223"/>
  <c r="N223"/>
  <c r="L224"/>
  <c r="N224"/>
  <c r="L225"/>
  <c r="N225"/>
  <c r="L226"/>
  <c r="N226"/>
  <c r="L227"/>
  <c r="N227"/>
  <c r="L228"/>
  <c r="N228"/>
  <c r="L229"/>
  <c r="N229"/>
  <c r="L230"/>
  <c r="N230"/>
  <c r="L231"/>
  <c r="N231"/>
  <c r="R211"/>
  <c r="J207"/>
  <c r="L207"/>
  <c r="L209"/>
  <c r="L192"/>
  <c r="N192" s="1"/>
  <c r="L193"/>
  <c r="N193" s="1"/>
  <c r="L194"/>
  <c r="N194" s="1"/>
  <c r="L195"/>
  <c r="N195" s="1"/>
  <c r="L196"/>
  <c r="N196"/>
  <c r="L197"/>
  <c r="N197" s="1"/>
  <c r="L198"/>
  <c r="N198"/>
  <c r="L199"/>
  <c r="N199" s="1"/>
  <c r="L200"/>
  <c r="N200" s="1"/>
  <c r="L201"/>
  <c r="N201" s="1"/>
  <c r="R181"/>
  <c r="J177"/>
  <c r="L177" s="1"/>
  <c r="R179" s="1"/>
  <c r="L179"/>
  <c r="L162"/>
  <c r="L163"/>
  <c r="L164"/>
  <c r="N164"/>
  <c r="L165"/>
  <c r="N165" s="1"/>
  <c r="L166"/>
  <c r="N166"/>
  <c r="L167"/>
  <c r="N167" s="1"/>
  <c r="L168"/>
  <c r="N168" s="1"/>
  <c r="L169"/>
  <c r="N169" s="1"/>
  <c r="L170"/>
  <c r="N170" s="1"/>
  <c r="L171"/>
  <c r="N171" s="1"/>
  <c r="R151"/>
  <c r="J147"/>
  <c r="L147" s="1"/>
  <c r="R149" s="1"/>
  <c r="L149"/>
  <c r="L132"/>
  <c r="N132" s="1"/>
  <c r="L133"/>
  <c r="L134"/>
  <c r="N134"/>
  <c r="L135"/>
  <c r="N135" s="1"/>
  <c r="L136"/>
  <c r="N136"/>
  <c r="L137"/>
  <c r="N137" s="1"/>
  <c r="L138"/>
  <c r="N138" s="1"/>
  <c r="L139"/>
  <c r="L140"/>
  <c r="N140"/>
  <c r="N133"/>
  <c r="N139"/>
  <c r="L141"/>
  <c r="N141"/>
  <c r="R121"/>
  <c r="J117"/>
  <c r="L117" s="1"/>
  <c r="R119"/>
  <c r="L119"/>
  <c r="L102"/>
  <c r="L103"/>
  <c r="N103"/>
  <c r="L104"/>
  <c r="N104" s="1"/>
  <c r="L105"/>
  <c r="N105"/>
  <c r="L106"/>
  <c r="N106" s="1"/>
  <c r="L107"/>
  <c r="N107" s="1"/>
  <c r="L108"/>
  <c r="N108" s="1"/>
  <c r="L109"/>
  <c r="N109" s="1"/>
  <c r="L110"/>
  <c r="N110" s="1"/>
  <c r="L111"/>
  <c r="N111"/>
  <c r="R91"/>
  <c r="J87"/>
  <c r="L87"/>
  <c r="R89"/>
  <c r="L89"/>
  <c r="L72"/>
  <c r="L73"/>
  <c r="N73"/>
  <c r="L74"/>
  <c r="N74" s="1"/>
  <c r="L75"/>
  <c r="N75"/>
  <c r="L76"/>
  <c r="N76" s="1"/>
  <c r="L77"/>
  <c r="N77" s="1"/>
  <c r="L78"/>
  <c r="N78" s="1"/>
  <c r="L79"/>
  <c r="N79" s="1"/>
  <c r="L80"/>
  <c r="N80" s="1"/>
  <c r="L81"/>
  <c r="N81"/>
  <c r="L42"/>
  <c r="L43"/>
  <c r="N43"/>
  <c r="L44"/>
  <c r="N44" s="1"/>
  <c r="L45"/>
  <c r="N45" s="1"/>
  <c r="L46"/>
  <c r="N46" s="1"/>
  <c r="L47"/>
  <c r="N47" s="1"/>
  <c r="L48"/>
  <c r="N48" s="1"/>
  <c r="L49"/>
  <c r="N49"/>
  <c r="L50"/>
  <c r="N50" s="1"/>
  <c r="L51"/>
  <c r="N51"/>
  <c r="J57"/>
  <c r="L57" s="1"/>
  <c r="R59" s="1"/>
  <c r="L59"/>
  <c r="R61"/>
  <c r="L20"/>
  <c r="N20"/>
  <c r="L19"/>
  <c r="N19"/>
  <c r="L18"/>
  <c r="N18"/>
  <c r="L17"/>
  <c r="N17"/>
  <c r="L16"/>
  <c r="N16"/>
  <c r="L15"/>
  <c r="N15"/>
  <c r="L14"/>
  <c r="N14"/>
  <c r="L13"/>
  <c r="L12"/>
  <c r="N12" s="1"/>
  <c r="B192" i="32"/>
  <c r="G127"/>
  <c r="G336" i="25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H74" i="26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G150" i="25"/>
  <c r="G149"/>
  <c r="G148"/>
  <c r="G147"/>
  <c r="G146"/>
  <c r="G145"/>
  <c r="G151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B13" i="28"/>
  <c r="C16" i="32"/>
  <c r="BU25" i="20"/>
  <c r="BU26"/>
  <c r="BU27"/>
  <c r="BU28"/>
  <c r="BU29"/>
  <c r="BU30"/>
  <c r="BU31"/>
  <c r="BU32"/>
  <c r="BU33"/>
  <c r="BU34"/>
  <c r="BU35"/>
  <c r="BU36"/>
  <c r="BU37"/>
  <c r="BU38"/>
  <c r="BU39"/>
  <c r="BU40"/>
  <c r="BU41"/>
  <c r="BU42"/>
  <c r="BU43"/>
  <c r="BU44"/>
  <c r="BU45"/>
  <c r="BU46"/>
  <c r="BU47"/>
  <c r="BU50"/>
  <c r="BU51"/>
  <c r="BU52"/>
  <c r="BU55"/>
  <c r="BU56"/>
  <c r="C57" i="22"/>
  <c r="H34" i="26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75"/>
  <c r="N13" i="29"/>
  <c r="G50" i="25"/>
  <c r="G49"/>
  <c r="G48"/>
  <c r="G47"/>
  <c r="G46"/>
  <c r="G45"/>
  <c r="G44"/>
  <c r="G43"/>
  <c r="G42"/>
  <c r="G41"/>
  <c r="G40"/>
  <c r="G39"/>
  <c r="G38"/>
  <c r="G37"/>
  <c r="G36"/>
  <c r="G35"/>
  <c r="B52" i="28"/>
  <c r="B51"/>
  <c r="B50"/>
  <c r="B47"/>
  <c r="B46"/>
  <c r="B45"/>
  <c r="B44"/>
  <c r="B43"/>
  <c r="B42"/>
  <c r="B41"/>
  <c r="B40"/>
  <c r="B39"/>
  <c r="B56"/>
  <c r="B55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4"/>
  <c r="B15"/>
  <c r="B16"/>
  <c r="G337" i="25"/>
  <c r="G57"/>
  <c r="G56"/>
  <c r="G55"/>
  <c r="G54"/>
  <c r="G53"/>
  <c r="G52"/>
  <c r="G51"/>
  <c r="G34"/>
  <c r="G33"/>
  <c r="G31"/>
  <c r="G30"/>
  <c r="G29"/>
  <c r="G28"/>
  <c r="G27"/>
  <c r="G26"/>
  <c r="G25"/>
  <c r="G24"/>
  <c r="G23"/>
  <c r="G22"/>
  <c r="G21"/>
  <c r="G20"/>
  <c r="G13"/>
  <c r="G14"/>
  <c r="G15"/>
  <c r="G16"/>
  <c r="G17"/>
  <c r="G18"/>
  <c r="G19"/>
  <c r="G32"/>
  <c r="BW56" i="20"/>
  <c r="BW55"/>
  <c r="J23"/>
  <c r="J24"/>
  <c r="J25"/>
  <c r="J26"/>
  <c r="J27"/>
  <c r="J28"/>
  <c r="J29"/>
  <c r="J30"/>
  <c r="J31"/>
  <c r="J32"/>
  <c r="J33"/>
  <c r="J34"/>
  <c r="J35"/>
  <c r="J36"/>
  <c r="J39"/>
  <c r="J38"/>
  <c r="J37"/>
  <c r="J22"/>
  <c r="J21"/>
  <c r="J20"/>
  <c r="J18"/>
  <c r="J17"/>
  <c r="J16"/>
  <c r="J15"/>
  <c r="J14"/>
  <c r="C4" i="22"/>
  <c r="C7"/>
  <c r="E194" i="32"/>
  <c r="I194"/>
  <c r="F2"/>
  <c r="D5"/>
  <c r="C59"/>
  <c r="C58"/>
  <c r="C55"/>
  <c r="C54"/>
  <c r="C53"/>
  <c r="C50"/>
  <c r="C49"/>
  <c r="C48"/>
  <c r="C47"/>
  <c r="C46"/>
  <c r="C45"/>
  <c r="C44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BF56" i="20"/>
  <c r="L203" i="29"/>
  <c r="BM57" i="28"/>
  <c r="G81" i="32"/>
  <c r="S462" i="38"/>
  <c r="S460"/>
  <c r="S458"/>
  <c r="S454"/>
  <c r="S452"/>
  <c r="S450"/>
  <c r="S446"/>
  <c r="S444"/>
  <c r="S442"/>
  <c r="S438"/>
  <c r="S436"/>
  <c r="S434"/>
  <c r="S430"/>
  <c r="S428"/>
  <c r="S426"/>
  <c r="S422"/>
  <c r="S420"/>
  <c r="S418"/>
  <c r="S414"/>
  <c r="S412"/>
  <c r="S410"/>
  <c r="S406"/>
  <c r="S404"/>
  <c r="S402"/>
  <c r="S398"/>
  <c r="S396"/>
  <c r="S394"/>
  <c r="S390"/>
  <c r="S388"/>
  <c r="S386"/>
  <c r="S382"/>
  <c r="S380"/>
  <c r="S378"/>
  <c r="S374"/>
  <c r="S372"/>
  <c r="S370"/>
  <c r="S366"/>
  <c r="S364"/>
  <c r="S362"/>
  <c r="S358"/>
  <c r="S356"/>
  <c r="S354"/>
  <c r="S350"/>
  <c r="S348"/>
  <c r="S346"/>
  <c r="S342"/>
  <c r="S340"/>
  <c r="S338"/>
  <c r="S334"/>
  <c r="S332"/>
  <c r="S330"/>
  <c r="S326"/>
  <c r="S324"/>
  <c r="S322"/>
  <c r="S318"/>
  <c r="S316"/>
  <c r="S314"/>
  <c r="S310"/>
  <c r="S308"/>
  <c r="S306"/>
  <c r="S302"/>
  <c r="S300"/>
  <c r="S298"/>
  <c r="S294"/>
  <c r="S292"/>
  <c r="S290"/>
  <c r="S286"/>
  <c r="S284"/>
  <c r="S282"/>
  <c r="S278"/>
  <c r="S276"/>
  <c r="S274"/>
  <c r="S270"/>
  <c r="S268"/>
  <c r="S266"/>
  <c r="S262"/>
  <c r="S260"/>
  <c r="S258"/>
  <c r="S254"/>
  <c r="S252"/>
  <c r="S250"/>
  <c r="S246"/>
  <c r="S244"/>
  <c r="S242"/>
  <c r="S238"/>
  <c r="S236"/>
  <c r="S234"/>
  <c r="S230"/>
  <c r="S228"/>
  <c r="S226"/>
  <c r="S222"/>
  <c r="S220"/>
  <c r="S218"/>
  <c r="S214"/>
  <c r="S212"/>
  <c r="S210"/>
  <c r="S206"/>
  <c r="S204"/>
  <c r="S202"/>
  <c r="S198"/>
  <c r="S196"/>
  <c r="S194"/>
  <c r="S190"/>
  <c r="S188"/>
  <c r="S186"/>
  <c r="S182"/>
  <c r="S180"/>
  <c r="S178"/>
  <c r="S174"/>
  <c r="S172"/>
  <c r="S170"/>
  <c r="S166"/>
  <c r="S164"/>
  <c r="S162"/>
  <c r="S158"/>
  <c r="S156"/>
  <c r="S154"/>
  <c r="S150"/>
  <c r="S148"/>
  <c r="S146"/>
  <c r="S142"/>
  <c r="S140"/>
  <c r="S138"/>
  <c r="S134"/>
  <c r="S132"/>
  <c r="S130"/>
  <c r="S126"/>
  <c r="S124"/>
  <c r="S122"/>
  <c r="S118"/>
  <c r="S116"/>
  <c r="S114"/>
  <c r="S110"/>
  <c r="S108"/>
  <c r="S106"/>
  <c r="S102"/>
  <c r="S100"/>
  <c r="S98"/>
  <c r="S94"/>
  <c r="S92"/>
  <c r="S90"/>
  <c r="S86"/>
  <c r="S84"/>
  <c r="S82"/>
  <c r="S78"/>
  <c r="S76"/>
  <c r="S74"/>
  <c r="S70"/>
  <c r="S68"/>
  <c r="S66"/>
  <c r="S62"/>
  <c r="S60"/>
  <c r="S58"/>
  <c r="S54"/>
  <c r="S52"/>
  <c r="S50"/>
  <c r="S46"/>
  <c r="S44"/>
  <c r="S42"/>
  <c r="S38"/>
  <c r="S36"/>
  <c r="S34"/>
  <c r="S30"/>
  <c r="S28"/>
  <c r="S26"/>
  <c r="CI33" i="20"/>
  <c r="CJ33" s="1"/>
  <c r="L57" i="37"/>
  <c r="L121"/>
  <c r="L151"/>
  <c r="F31" i="23"/>
  <c r="I31"/>
  <c r="I43"/>
  <c r="I47" s="1"/>
  <c r="G80" i="32"/>
  <c r="AZ51" i="20"/>
  <c r="AZ33"/>
  <c r="S461" i="38"/>
  <c r="S459"/>
  <c r="S457"/>
  <c r="S455"/>
  <c r="S453"/>
  <c r="S451"/>
  <c r="S449"/>
  <c r="S447"/>
  <c r="S445"/>
  <c r="S443"/>
  <c r="S441"/>
  <c r="S439"/>
  <c r="S437"/>
  <c r="S435"/>
  <c r="S433"/>
  <c r="S431"/>
  <c r="S429"/>
  <c r="S427"/>
  <c r="S425"/>
  <c r="S423"/>
  <c r="S421"/>
  <c r="S419"/>
  <c r="S417"/>
  <c r="S415"/>
  <c r="S413"/>
  <c r="S411"/>
  <c r="S409"/>
  <c r="S407"/>
  <c r="S405"/>
  <c r="S403"/>
  <c r="S401"/>
  <c r="S399"/>
  <c r="S397"/>
  <c r="S395"/>
  <c r="S393"/>
  <c r="S391"/>
  <c r="S389"/>
  <c r="S387"/>
  <c r="S385"/>
  <c r="S383"/>
  <c r="S381"/>
  <c r="S379"/>
  <c r="S377"/>
  <c r="S375"/>
  <c r="S373"/>
  <c r="S371"/>
  <c r="S369"/>
  <c r="S367"/>
  <c r="S365"/>
  <c r="S363"/>
  <c r="S361"/>
  <c r="S359"/>
  <c r="S357"/>
  <c r="S355"/>
  <c r="S353"/>
  <c r="S351"/>
  <c r="S349"/>
  <c r="S347"/>
  <c r="S345"/>
  <c r="S343"/>
  <c r="S341"/>
  <c r="S339"/>
  <c r="S337"/>
  <c r="S335"/>
  <c r="S333"/>
  <c r="S331"/>
  <c r="S329"/>
  <c r="S327"/>
  <c r="S325"/>
  <c r="S323"/>
  <c r="S321"/>
  <c r="S319"/>
  <c r="S317"/>
  <c r="S315"/>
  <c r="S313"/>
  <c r="S311"/>
  <c r="S309"/>
  <c r="S307"/>
  <c r="S305"/>
  <c r="S303"/>
  <c r="S301"/>
  <c r="S299"/>
  <c r="S297"/>
  <c r="S295"/>
  <c r="S293"/>
  <c r="S291"/>
  <c r="S289"/>
  <c r="S287"/>
  <c r="S285"/>
  <c r="S283"/>
  <c r="S281"/>
  <c r="S279"/>
  <c r="S277"/>
  <c r="S275"/>
  <c r="S273"/>
  <c r="S271"/>
  <c r="S269"/>
  <c r="S267"/>
  <c r="S265"/>
  <c r="S263"/>
  <c r="S261"/>
  <c r="S259"/>
  <c r="S257"/>
  <c r="S255"/>
  <c r="S253"/>
  <c r="S251"/>
  <c r="S249"/>
  <c r="S247"/>
  <c r="S245"/>
  <c r="S243"/>
  <c r="S241"/>
  <c r="S239"/>
  <c r="S237"/>
  <c r="S235"/>
  <c r="S233"/>
  <c r="S231"/>
  <c r="S229"/>
  <c r="S227"/>
  <c r="S225"/>
  <c r="S223"/>
  <c r="S221"/>
  <c r="S219"/>
  <c r="S217"/>
  <c r="S215"/>
  <c r="S213"/>
  <c r="S211"/>
  <c r="S209"/>
  <c r="S207"/>
  <c r="S205"/>
  <c r="S203"/>
  <c r="S201"/>
  <c r="S199"/>
  <c r="S197"/>
  <c r="S195"/>
  <c r="S193"/>
  <c r="S191"/>
  <c r="S189"/>
  <c r="S187"/>
  <c r="S185"/>
  <c r="S183"/>
  <c r="S181"/>
  <c r="S179"/>
  <c r="S177"/>
  <c r="S175"/>
  <c r="S173"/>
  <c r="S171"/>
  <c r="S169"/>
  <c r="S167"/>
  <c r="S165"/>
  <c r="S163"/>
  <c r="S161"/>
  <c r="S159"/>
  <c r="S157"/>
  <c r="S155"/>
  <c r="S153"/>
  <c r="S151"/>
  <c r="S149"/>
  <c r="S147"/>
  <c r="S145"/>
  <c r="S143"/>
  <c r="S141"/>
  <c r="S139"/>
  <c r="S137"/>
  <c r="S135"/>
  <c r="S133"/>
  <c r="S131"/>
  <c r="S129"/>
  <c r="S127"/>
  <c r="S125"/>
  <c r="S123"/>
  <c r="S121"/>
  <c r="S119"/>
  <c r="S117"/>
  <c r="S115"/>
  <c r="S113"/>
  <c r="S111"/>
  <c r="S109"/>
  <c r="S107"/>
  <c r="S105"/>
  <c r="S103"/>
  <c r="S101"/>
  <c r="S99"/>
  <c r="S97"/>
  <c r="S95"/>
  <c r="S93"/>
  <c r="S91"/>
  <c r="S89"/>
  <c r="S87"/>
  <c r="S85"/>
  <c r="S83"/>
  <c r="S81"/>
  <c r="S79"/>
  <c r="S77"/>
  <c r="S75"/>
  <c r="S73"/>
  <c r="S71"/>
  <c r="S69"/>
  <c r="S67"/>
  <c r="S65"/>
  <c r="S63"/>
  <c r="S61"/>
  <c r="S59"/>
  <c r="S57"/>
  <c r="S55"/>
  <c r="S53"/>
  <c r="S51"/>
  <c r="S49"/>
  <c r="S47"/>
  <c r="S45"/>
  <c r="S43"/>
  <c r="S41"/>
  <c r="S39"/>
  <c r="S37"/>
  <c r="S35"/>
  <c r="S33"/>
  <c r="S31"/>
  <c r="S29"/>
  <c r="S27"/>
  <c r="S25"/>
  <c r="G77" i="45"/>
  <c r="G73"/>
  <c r="T14" i="28"/>
  <c r="T26"/>
  <c r="T27"/>
  <c r="T31"/>
  <c r="T33"/>
  <c r="T35"/>
  <c r="T41"/>
  <c r="T43"/>
  <c r="T47"/>
  <c r="T53"/>
  <c r="T55"/>
  <c r="BA26" i="20"/>
  <c r="BD26" s="1"/>
  <c r="CJ26"/>
  <c r="CI27"/>
  <c r="CJ27" s="1"/>
  <c r="CI28"/>
  <c r="CJ28" s="1"/>
  <c r="CI30"/>
  <c r="CJ30" s="1"/>
  <c r="CI31"/>
  <c r="CJ31" s="1"/>
  <c r="CI36"/>
  <c r="CJ36" s="1"/>
  <c r="CI38"/>
  <c r="CJ38"/>
  <c r="CI40"/>
  <c r="CJ40"/>
  <c r="CI41"/>
  <c r="CJ41" s="1"/>
  <c r="CJ42"/>
  <c r="CI43"/>
  <c r="CJ43" s="1"/>
  <c r="CI44"/>
  <c r="CJ44" s="1"/>
  <c r="CI45"/>
  <c r="CJ45" s="1"/>
  <c r="CI48"/>
  <c r="CJ48" s="1"/>
  <c r="CI50"/>
  <c r="CJ50" s="1"/>
  <c r="CI51"/>
  <c r="CJ51" s="1"/>
  <c r="CI53"/>
  <c r="CJ53"/>
  <c r="CI56"/>
  <c r="CJ56" s="1"/>
  <c r="D25" i="28"/>
  <c r="D27"/>
  <c r="Q27" s="1"/>
  <c r="P27" s="1"/>
  <c r="D29"/>
  <c r="D33"/>
  <c r="Q33" s="1"/>
  <c r="P33" s="1"/>
  <c r="D37"/>
  <c r="D39"/>
  <c r="D41"/>
  <c r="Q41" s="1"/>
  <c r="D43"/>
  <c r="Q43" s="1"/>
  <c r="P43" s="1"/>
  <c r="D45"/>
  <c r="D47"/>
  <c r="Q47" s="1"/>
  <c r="P47" s="1"/>
  <c r="D48"/>
  <c r="D49"/>
  <c r="D50"/>
  <c r="D51"/>
  <c r="D52"/>
  <c r="D53"/>
  <c r="D54"/>
  <c r="D55"/>
  <c r="D56"/>
  <c r="H372" i="27"/>
  <c r="J372" s="1"/>
  <c r="L372" s="1"/>
  <c r="N372" s="1"/>
  <c r="H455"/>
  <c r="J455" s="1"/>
  <c r="L455" s="1"/>
  <c r="N455" s="1"/>
  <c r="H492"/>
  <c r="J492" s="1"/>
  <c r="L492" s="1"/>
  <c r="N492" s="1"/>
  <c r="F32" i="32"/>
  <c r="I32"/>
  <c r="F33"/>
  <c r="G33"/>
  <c r="I33"/>
  <c r="F34"/>
  <c r="G34"/>
  <c r="I34"/>
  <c r="F35"/>
  <c r="H35"/>
  <c r="I35"/>
  <c r="F36"/>
  <c r="H36"/>
  <c r="I36"/>
  <c r="F37"/>
  <c r="G37"/>
  <c r="I37"/>
  <c r="F38"/>
  <c r="G38"/>
  <c r="I38"/>
  <c r="G39"/>
  <c r="H39"/>
  <c r="I39"/>
  <c r="F40"/>
  <c r="I40"/>
  <c r="F41"/>
  <c r="G41"/>
  <c r="I41"/>
  <c r="F42"/>
  <c r="H42"/>
  <c r="I42"/>
  <c r="G43"/>
  <c r="I43"/>
  <c r="F44"/>
  <c r="I44"/>
  <c r="F45"/>
  <c r="H45"/>
  <c r="I45"/>
  <c r="F46"/>
  <c r="G46"/>
  <c r="H46"/>
  <c r="I46"/>
  <c r="G47"/>
  <c r="L47" s="1"/>
  <c r="L47" i="45" s="1"/>
  <c r="I47" i="32"/>
  <c r="F48"/>
  <c r="I48"/>
  <c r="F49"/>
  <c r="G49"/>
  <c r="I49"/>
  <c r="G50"/>
  <c r="I50"/>
  <c r="G51"/>
  <c r="H51"/>
  <c r="I51"/>
  <c r="F52"/>
  <c r="H52"/>
  <c r="I52"/>
  <c r="F53"/>
  <c r="G53"/>
  <c r="I53"/>
  <c r="I54"/>
  <c r="F55"/>
  <c r="G55"/>
  <c r="L55" s="1"/>
  <c r="L55" i="45" s="1"/>
  <c r="I55" i="32"/>
  <c r="F56"/>
  <c r="I56"/>
  <c r="F57"/>
  <c r="G57"/>
  <c r="H57"/>
  <c r="I57"/>
  <c r="I58"/>
  <c r="L58" s="1"/>
  <c r="L58" i="45" s="1"/>
  <c r="F30" i="32"/>
  <c r="G30"/>
  <c r="I30"/>
  <c r="F31"/>
  <c r="G31"/>
  <c r="H31"/>
  <c r="I31"/>
  <c r="F59"/>
  <c r="L59" s="1"/>
  <c r="G59"/>
  <c r="I59"/>
  <c r="J59"/>
  <c r="F16"/>
  <c r="F17"/>
  <c r="G17"/>
  <c r="G21"/>
  <c r="G23"/>
  <c r="G25"/>
  <c r="F28"/>
  <c r="H28"/>
  <c r="L28" s="1"/>
  <c r="L28" i="45" s="1"/>
  <c r="I28" i="32"/>
  <c r="F29"/>
  <c r="I29"/>
  <c r="L29" s="1"/>
  <c r="L29" i="45" s="1"/>
  <c r="J29" i="32"/>
  <c r="G71"/>
  <c r="G72"/>
  <c r="G73"/>
  <c r="G74"/>
  <c r="G77"/>
  <c r="G88"/>
  <c r="G92"/>
  <c r="AZ25" i="20"/>
  <c r="AZ27"/>
  <c r="AZ28"/>
  <c r="AZ32"/>
  <c r="AZ36"/>
  <c r="AZ39"/>
  <c r="AZ42"/>
  <c r="AZ44"/>
  <c r="AZ48"/>
  <c r="AZ53"/>
  <c r="AZ56"/>
  <c r="G131" i="32"/>
  <c r="C131" s="1"/>
  <c r="G132"/>
  <c r="J67" i="22"/>
  <c r="C132" i="45"/>
  <c r="BF45" i="20"/>
  <c r="BF29"/>
  <c r="AP27"/>
  <c r="AL51"/>
  <c r="AL47"/>
  <c r="AL35"/>
  <c r="AL27"/>
  <c r="AL23"/>
  <c r="CH36"/>
  <c r="AX56"/>
  <c r="CD56"/>
  <c r="AX26"/>
  <c r="CC26"/>
  <c r="F26" i="28" s="1"/>
  <c r="AC26" s="1"/>
  <c r="AP52" i="20"/>
  <c r="AP19"/>
  <c r="BF28"/>
  <c r="BF36"/>
  <c r="BF44"/>
  <c r="BF52"/>
  <c r="AP29"/>
  <c r="BF26"/>
  <c r="BF30"/>
  <c r="BF34"/>
  <c r="BF38"/>
  <c r="BF42"/>
  <c r="BF46"/>
  <c r="BF54"/>
  <c r="AP31"/>
  <c r="AP18"/>
  <c r="AP15"/>
  <c r="BF39"/>
  <c r="AP47"/>
  <c r="AP39"/>
  <c r="AP32"/>
  <c r="AP28"/>
  <c r="AP24"/>
  <c r="BF25"/>
  <c r="BF51"/>
  <c r="AP46"/>
  <c r="AP42"/>
  <c r="AP34"/>
  <c r="AP16"/>
  <c r="G10" i="44"/>
  <c r="G35" s="1"/>
  <c r="G6"/>
  <c r="G31" s="1"/>
  <c r="J29" i="45"/>
  <c r="AP36" i="20"/>
  <c r="AP40"/>
  <c r="BF43"/>
  <c r="AP20"/>
  <c r="AP35"/>
  <c r="AP50"/>
  <c r="BF55"/>
  <c r="AP23"/>
  <c r="AP53"/>
  <c r="BF47"/>
  <c r="AP55"/>
  <c r="P143" i="37"/>
  <c r="R143" s="1"/>
  <c r="H108" i="38"/>
  <c r="H364"/>
  <c r="H371"/>
  <c r="H230"/>
  <c r="P49" i="29"/>
  <c r="H76" i="25"/>
  <c r="I76" s="1"/>
  <c r="H204"/>
  <c r="I204" s="1"/>
  <c r="H332"/>
  <c r="I332" s="1"/>
  <c r="H191" i="38"/>
  <c r="H246" i="25"/>
  <c r="I246" s="1"/>
  <c r="P222" i="29"/>
  <c r="H29" i="38"/>
  <c r="H370"/>
  <c r="H136" i="25"/>
  <c r="I136" s="1"/>
  <c r="P164" i="29"/>
  <c r="H357" i="38"/>
  <c r="H106"/>
  <c r="H442"/>
  <c r="H272" i="25"/>
  <c r="I272" s="1"/>
  <c r="H183" i="38"/>
  <c r="H213"/>
  <c r="C164" i="45"/>
  <c r="F164" s="1"/>
  <c r="D164"/>
  <c r="CP14" i="20"/>
  <c r="AD56"/>
  <c r="G59" i="45"/>
  <c r="G57"/>
  <c r="AD54" i="20"/>
  <c r="AD52"/>
  <c r="G55" i="45"/>
  <c r="G53"/>
  <c r="AD50" i="20"/>
  <c r="AD48"/>
  <c r="G51" i="45"/>
  <c r="G49"/>
  <c r="AD46" i="20"/>
  <c r="AD44"/>
  <c r="G47" i="45"/>
  <c r="AD42" i="20"/>
  <c r="AD40"/>
  <c r="AD38"/>
  <c r="AD36"/>
  <c r="AD34"/>
  <c r="AD32"/>
  <c r="AD30"/>
  <c r="AD28"/>
  <c r="AD26"/>
  <c r="AD22"/>
  <c r="AD20"/>
  <c r="AD18"/>
  <c r="CG28"/>
  <c r="CH28"/>
  <c r="AW54"/>
  <c r="BA54" s="1"/>
  <c r="BD54" s="1"/>
  <c r="BZ54"/>
  <c r="L54" i="28"/>
  <c r="T54" s="1"/>
  <c r="AA54" s="1"/>
  <c r="AW52" i="20"/>
  <c r="BA52"/>
  <c r="BD52" s="1"/>
  <c r="BZ52"/>
  <c r="L52" i="28"/>
  <c r="N52" s="1"/>
  <c r="AW50" i="20"/>
  <c r="BA50"/>
  <c r="BD50"/>
  <c r="BZ50"/>
  <c r="L50" i="28" s="1"/>
  <c r="AW48" i="20"/>
  <c r="BZ48"/>
  <c r="L48" i="28" s="1"/>
  <c r="T48" s="1"/>
  <c r="AW46" i="20"/>
  <c r="CD46" s="1"/>
  <c r="BA46"/>
  <c r="BD46" s="1"/>
  <c r="BZ46"/>
  <c r="L46" i="28"/>
  <c r="T46" s="1"/>
  <c r="AW44" i="20"/>
  <c r="BZ44"/>
  <c r="L44" i="28"/>
  <c r="AW42" i="20"/>
  <c r="BZ42"/>
  <c r="L42" i="28"/>
  <c r="T42" s="1"/>
  <c r="AW40" i="20"/>
  <c r="BZ40"/>
  <c r="L40" i="28"/>
  <c r="AW38" i="20"/>
  <c r="J41" i="45" s="1"/>
  <c r="BZ38" i="20"/>
  <c r="L38" i="28"/>
  <c r="N38" s="1"/>
  <c r="AW36" i="20"/>
  <c r="J39" i="45" s="1"/>
  <c r="BZ36" i="20"/>
  <c r="L36" i="28" s="1"/>
  <c r="AW34" i="20"/>
  <c r="BA34"/>
  <c r="BD34" s="1"/>
  <c r="BZ34"/>
  <c r="L34" i="28" s="1"/>
  <c r="AW32" i="20"/>
  <c r="BA32"/>
  <c r="BD32" s="1"/>
  <c r="CD32"/>
  <c r="BZ32"/>
  <c r="L32" i="28" s="1"/>
  <c r="T32" s="1"/>
  <c r="AA32" s="1"/>
  <c r="AW30" i="20"/>
  <c r="BZ30"/>
  <c r="L30" i="28"/>
  <c r="AW28" i="20"/>
  <c r="BA28"/>
  <c r="BD28" s="1"/>
  <c r="AX28"/>
  <c r="CD28"/>
  <c r="BZ28"/>
  <c r="L28" i="28" s="1"/>
  <c r="T28" s="1"/>
  <c r="B61" i="32"/>
  <c r="C61"/>
  <c r="AW53" i="20"/>
  <c r="CB53"/>
  <c r="CE53"/>
  <c r="CF53"/>
  <c r="AW51"/>
  <c r="BA51"/>
  <c r="BD51"/>
  <c r="CB51"/>
  <c r="CE51" s="1"/>
  <c r="CF51" s="1"/>
  <c r="AW49"/>
  <c r="CB49"/>
  <c r="CE49"/>
  <c r="CF49" s="1"/>
  <c r="AW47"/>
  <c r="CC47" s="1"/>
  <c r="BA47"/>
  <c r="BD47"/>
  <c r="CB47"/>
  <c r="CE47"/>
  <c r="CF47"/>
  <c r="AW45"/>
  <c r="AX45" s="1"/>
  <c r="CB45"/>
  <c r="CE45" s="1"/>
  <c r="CF45" s="1"/>
  <c r="AW43"/>
  <c r="BA43"/>
  <c r="BD43" s="1"/>
  <c r="CB43"/>
  <c r="CE43"/>
  <c r="CF43" s="1"/>
  <c r="AW41"/>
  <c r="J44" i="32" s="1"/>
  <c r="CB41" i="20"/>
  <c r="CE41"/>
  <c r="CF41" s="1"/>
  <c r="AW39"/>
  <c r="BA39" s="1"/>
  <c r="BD39"/>
  <c r="J42" i="45"/>
  <c r="CB39" i="20"/>
  <c r="CE39" s="1"/>
  <c r="CF39"/>
  <c r="CH39"/>
  <c r="AW37"/>
  <c r="J40" i="45" s="1"/>
  <c r="CB37" i="20"/>
  <c r="CE37" s="1"/>
  <c r="CF37"/>
  <c r="CG37" s="1"/>
  <c r="AW35"/>
  <c r="AX35" s="1"/>
  <c r="CC35"/>
  <c r="F35" i="28" s="1"/>
  <c r="B38" i="45" s="1"/>
  <c r="CB35" i="20"/>
  <c r="CE35"/>
  <c r="CF35" s="1"/>
  <c r="CH35" s="1"/>
  <c r="AW33"/>
  <c r="BA33"/>
  <c r="BD33" s="1"/>
  <c r="CB33"/>
  <c r="CE33" s="1"/>
  <c r="CF33" s="1"/>
  <c r="CH33" s="1"/>
  <c r="CG33"/>
  <c r="AW31"/>
  <c r="CB31"/>
  <c r="CE31"/>
  <c r="CF31"/>
  <c r="CG31" s="1"/>
  <c r="AW29"/>
  <c r="CB29"/>
  <c r="CE29"/>
  <c r="CF29" s="1"/>
  <c r="CH29" s="1"/>
  <c r="AW27"/>
  <c r="BA27"/>
  <c r="BD27" s="1"/>
  <c r="CB27"/>
  <c r="CE27" s="1"/>
  <c r="CF27" s="1"/>
  <c r="AW25"/>
  <c r="BA25"/>
  <c r="BD25" s="1"/>
  <c r="CE25"/>
  <c r="CF25"/>
  <c r="CG25" s="1"/>
  <c r="AL54"/>
  <c r="AL48"/>
  <c r="AL42"/>
  <c r="AL36"/>
  <c r="AL32"/>
  <c r="AL28"/>
  <c r="X13"/>
  <c r="AK13"/>
  <c r="H16" i="45" s="1"/>
  <c r="AL26" i="20"/>
  <c r="AL29"/>
  <c r="AL31"/>
  <c r="AL37"/>
  <c r="AL38"/>
  <c r="AL40"/>
  <c r="AL41"/>
  <c r="AL45"/>
  <c r="AL46"/>
  <c r="AL50"/>
  <c r="AL53"/>
  <c r="AL55"/>
  <c r="F17" i="45"/>
  <c r="R14" i="20"/>
  <c r="AP14"/>
  <c r="CH56"/>
  <c r="CG52"/>
  <c r="CH52"/>
  <c r="CH48"/>
  <c r="CH44"/>
  <c r="CG44"/>
  <c r="AE59"/>
  <c r="G58" i="45"/>
  <c r="F58"/>
  <c r="G56"/>
  <c r="F56"/>
  <c r="G54"/>
  <c r="F54"/>
  <c r="G52"/>
  <c r="F52"/>
  <c r="G50"/>
  <c r="F50"/>
  <c r="G43"/>
  <c r="F43"/>
  <c r="G41"/>
  <c r="F41"/>
  <c r="G39"/>
  <c r="F39"/>
  <c r="G37"/>
  <c r="F37"/>
  <c r="G35"/>
  <c r="F35"/>
  <c r="G33"/>
  <c r="F33"/>
  <c r="G31"/>
  <c r="F31"/>
  <c r="G29"/>
  <c r="F29"/>
  <c r="G25"/>
  <c r="G23"/>
  <c r="G21"/>
  <c r="J38"/>
  <c r="AP22" i="20"/>
  <c r="AP37"/>
  <c r="AP21"/>
  <c r="AP38"/>
  <c r="AP44"/>
  <c r="AP43"/>
  <c r="AP54"/>
  <c r="AP26"/>
  <c r="AP51"/>
  <c r="CH34"/>
  <c r="CH32"/>
  <c r="AP45"/>
  <c r="AP41"/>
  <c r="AP30"/>
  <c r="AP17"/>
  <c r="CC32"/>
  <c r="F32" i="28" s="1"/>
  <c r="B35" i="45" s="1"/>
  <c r="AC32" i="28"/>
  <c r="H25" i="38"/>
  <c r="P170" i="29"/>
  <c r="R170" s="1"/>
  <c r="N203"/>
  <c r="N233"/>
  <c r="G127" i="45"/>
  <c r="H58"/>
  <c r="H56"/>
  <c r="H54"/>
  <c r="H52"/>
  <c r="H50"/>
  <c r="H48"/>
  <c r="H46"/>
  <c r="H44"/>
  <c r="H42"/>
  <c r="H40"/>
  <c r="H38"/>
  <c r="H36"/>
  <c r="H34"/>
  <c r="H32"/>
  <c r="H30"/>
  <c r="H28"/>
  <c r="H26"/>
  <c r="G74"/>
  <c r="F59"/>
  <c r="F57"/>
  <c r="F55"/>
  <c r="F53"/>
  <c r="F51"/>
  <c r="F49"/>
  <c r="G48"/>
  <c r="F47"/>
  <c r="G46"/>
  <c r="F45"/>
  <c r="G44"/>
  <c r="G42"/>
  <c r="G40"/>
  <c r="G38"/>
  <c r="G36"/>
  <c r="G34"/>
  <c r="G32"/>
  <c r="G30"/>
  <c r="G28"/>
  <c r="G26"/>
  <c r="G20"/>
  <c r="G18"/>
  <c r="H59"/>
  <c r="H57"/>
  <c r="H55"/>
  <c r="H53"/>
  <c r="H51"/>
  <c r="H49"/>
  <c r="H47"/>
  <c r="H45"/>
  <c r="H43"/>
  <c r="H41"/>
  <c r="H39"/>
  <c r="H37"/>
  <c r="H35"/>
  <c r="H33"/>
  <c r="H31"/>
  <c r="H29"/>
  <c r="AD14" i="20"/>
  <c r="CD25"/>
  <c r="CC25"/>
  <c r="F25" i="28"/>
  <c r="B28" i="45" s="1"/>
  <c r="CD33" i="20"/>
  <c r="AX37"/>
  <c r="AX43"/>
  <c r="F47" i="28"/>
  <c r="B50" i="45" s="1"/>
  <c r="AX47" i="20"/>
  <c r="CD51"/>
  <c r="CC42"/>
  <c r="F42" i="28" s="1"/>
  <c r="CD52" i="20"/>
  <c r="CC52"/>
  <c r="F52" i="28"/>
  <c r="B55" i="45" s="1"/>
  <c r="CC54" i="20"/>
  <c r="F54" i="28" s="1"/>
  <c r="CD54" i="20"/>
  <c r="CC28"/>
  <c r="F28" i="28"/>
  <c r="CD34" i="20"/>
  <c r="CC34"/>
  <c r="F34" i="28"/>
  <c r="B37" i="45" s="1"/>
  <c r="AX34" i="20"/>
  <c r="CC40"/>
  <c r="F40" i="28" s="1"/>
  <c r="AC40" s="1"/>
  <c r="B43" i="45"/>
  <c r="CD50" i="20"/>
  <c r="J53" i="45"/>
  <c r="R13" i="20"/>
  <c r="CR13"/>
  <c r="CP13"/>
  <c r="J33" i="45"/>
  <c r="J50"/>
  <c r="J51"/>
  <c r="I16"/>
  <c r="CG47" i="20"/>
  <c r="CH47"/>
  <c r="CG39"/>
  <c r="J31" i="45"/>
  <c r="J44"/>
  <c r="AX27" i="20"/>
  <c r="J56" i="45"/>
  <c r="CC31" i="20"/>
  <c r="F31" i="28" s="1"/>
  <c r="F16" i="45"/>
  <c r="J28"/>
  <c r="AX41" i="20"/>
  <c r="CD47"/>
  <c r="J35" i="45"/>
  <c r="J59"/>
  <c r="CH42" i="20"/>
  <c r="CG42"/>
  <c r="I45" i="23"/>
  <c r="O53" i="43"/>
  <c r="O55"/>
  <c r="L53"/>
  <c r="M53"/>
  <c r="M55" s="1"/>
  <c r="N12" i="37"/>
  <c r="N23" s="1"/>
  <c r="G8" i="44"/>
  <c r="G33" s="1"/>
  <c r="O11"/>
  <c r="O20" s="1"/>
  <c r="O45" s="1"/>
  <c r="AD15" i="20"/>
  <c r="R54"/>
  <c r="R46"/>
  <c r="R38"/>
  <c r="R30"/>
  <c r="F48" i="45"/>
  <c r="F40"/>
  <c r="F32"/>
  <c r="CR53" i="20"/>
  <c r="CR49"/>
  <c r="CR45"/>
  <c r="CR41"/>
  <c r="CR37"/>
  <c r="CR33"/>
  <c r="CR29"/>
  <c r="CR25"/>
  <c r="N163" i="29"/>
  <c r="F44" i="45"/>
  <c r="F36"/>
  <c r="F28"/>
  <c r="AD49" i="20"/>
  <c r="AD41"/>
  <c r="AD33"/>
  <c r="AD25"/>
  <c r="CP54"/>
  <c r="CP50"/>
  <c r="CP46"/>
  <c r="CP42"/>
  <c r="CP38"/>
  <c r="CP34"/>
  <c r="CP30"/>
  <c r="CP26"/>
  <c r="R49"/>
  <c r="R41"/>
  <c r="R33"/>
  <c r="R25"/>
  <c r="C132" i="32"/>
  <c r="CH31" i="20"/>
  <c r="CH25"/>
  <c r="AX48"/>
  <c r="AX51"/>
  <c r="J54" i="45"/>
  <c r="J49"/>
  <c r="CC43" i="20"/>
  <c r="F43" i="28" s="1"/>
  <c r="AC43" s="1"/>
  <c r="AI43" s="1"/>
  <c r="CD39" i="20"/>
  <c r="J46" i="45"/>
  <c r="N72" i="29"/>
  <c r="N83"/>
  <c r="L83"/>
  <c r="H174" i="25"/>
  <c r="I174" s="1"/>
  <c r="H369" i="38"/>
  <c r="H225"/>
  <c r="P52" i="43"/>
  <c r="G9" i="44"/>
  <c r="G34" s="1"/>
  <c r="C134" i="32"/>
  <c r="L233" i="29"/>
  <c r="AQ59" i="20"/>
  <c r="G92" i="45"/>
  <c r="L23" i="37"/>
  <c r="N121"/>
  <c r="CB55" i="20"/>
  <c r="CE55"/>
  <c r="CF55" s="1"/>
  <c r="AW55"/>
  <c r="F39" i="23"/>
  <c r="G90" i="45"/>
  <c r="G93" s="1"/>
  <c r="CP52" i="20"/>
  <c r="CR52"/>
  <c r="F34" i="45"/>
  <c r="CR31" i="20"/>
  <c r="CP31"/>
  <c r="CP27"/>
  <c r="F30" i="45"/>
  <c r="CR27" i="20"/>
  <c r="R56"/>
  <c r="I55" i="43"/>
  <c r="CE54" i="20"/>
  <c r="CF54" s="1"/>
  <c r="CB46"/>
  <c r="CE46"/>
  <c r="CF46"/>
  <c r="CH46" s="1"/>
  <c r="CB40"/>
  <c r="CE40" s="1"/>
  <c r="CF40"/>
  <c r="CG40" s="1"/>
  <c r="AD43"/>
  <c r="AD35"/>
  <c r="CR56"/>
  <c r="L59" i="45"/>
  <c r="CP56" i="20"/>
  <c r="G14" i="23"/>
  <c r="G76" i="45" s="1"/>
  <c r="F18" i="23"/>
  <c r="CR50" i="20"/>
  <c r="AP48"/>
  <c r="E55" i="43"/>
  <c r="L87" i="37"/>
  <c r="AW57" i="28"/>
  <c r="G71" i="45"/>
  <c r="F38"/>
  <c r="AD39" i="20"/>
  <c r="BZ56"/>
  <c r="L56" i="28"/>
  <c r="N56" s="1"/>
  <c r="Q56" s="1"/>
  <c r="CR51" i="20"/>
  <c r="CP48"/>
  <c r="BZ13"/>
  <c r="L13" i="28"/>
  <c r="T13" s="1"/>
  <c r="AX55" i="20"/>
  <c r="CC55"/>
  <c r="F55" i="28" s="1"/>
  <c r="N23" i="29"/>
  <c r="R29"/>
  <c r="L23"/>
  <c r="AD19" i="20"/>
  <c r="G22" i="32"/>
  <c r="G22" i="45"/>
  <c r="AD16" i="20"/>
  <c r="G19" i="45"/>
  <c r="G19" i="32"/>
  <c r="BQ19" i="20"/>
  <c r="BU19"/>
  <c r="H22" i="45"/>
  <c r="AL19" i="20"/>
  <c r="BC13"/>
  <c r="BD13" s="1"/>
  <c r="BL13" s="1"/>
  <c r="I16" i="32" s="1"/>
  <c r="G16" i="45"/>
  <c r="G16" i="32"/>
  <c r="AW13" i="20"/>
  <c r="AD13"/>
  <c r="BQ21"/>
  <c r="BU21"/>
  <c r="H24" i="32"/>
  <c r="AL21" i="20"/>
  <c r="H24" i="45"/>
  <c r="G27" i="32"/>
  <c r="AD24" i="20"/>
  <c r="G27" i="45"/>
  <c r="AK17" i="20"/>
  <c r="BQ17"/>
  <c r="BU17"/>
  <c r="CH40"/>
  <c r="CG46"/>
  <c r="AA35" i="28"/>
  <c r="B58" i="45"/>
  <c r="CH53" i="20"/>
  <c r="CG53"/>
  <c r="N28" i="28"/>
  <c r="Q28" s="1"/>
  <c r="T30"/>
  <c r="N30"/>
  <c r="BA55" i="20"/>
  <c r="BD55" s="1"/>
  <c r="J58" i="32"/>
  <c r="BA35" i="20"/>
  <c r="BD35" s="1"/>
  <c r="J38" i="32"/>
  <c r="L38"/>
  <c r="L38" i="45" s="1"/>
  <c r="CD35" i="20"/>
  <c r="CD41"/>
  <c r="CC41"/>
  <c r="F41" i="28" s="1"/>
  <c r="AC41" s="1"/>
  <c r="J52" i="45"/>
  <c r="J52" i="32"/>
  <c r="L52" s="1"/>
  <c r="L52" i="45" s="1"/>
  <c r="AX49" i="20"/>
  <c r="L55" i="43"/>
  <c r="CH37" i="20"/>
  <c r="CH43"/>
  <c r="CG43"/>
  <c r="AC25" i="28"/>
  <c r="AI25" s="1"/>
  <c r="H16" i="32"/>
  <c r="AL13" i="20"/>
  <c r="BQ13"/>
  <c r="BU13"/>
  <c r="BS13"/>
  <c r="BW13" s="1"/>
  <c r="CG35"/>
  <c r="CG41"/>
  <c r="CH41"/>
  <c r="CD38"/>
  <c r="CC46"/>
  <c r="F46" i="28" s="1"/>
  <c r="AX33" i="20"/>
  <c r="AX25"/>
  <c r="J47" i="45"/>
  <c r="J48"/>
  <c r="CC50" i="20"/>
  <c r="F50" i="28" s="1"/>
  <c r="CD36" i="20"/>
  <c r="J57" i="45"/>
  <c r="AX52" i="20"/>
  <c r="AX32"/>
  <c r="CC51"/>
  <c r="F51" i="28"/>
  <c r="AC51" s="1"/>
  <c r="J36" i="45"/>
  <c r="CC29" i="20"/>
  <c r="F29" i="28" s="1"/>
  <c r="B32" i="45" s="1"/>
  <c r="J55"/>
  <c r="N32" i="28"/>
  <c r="Q32" s="1"/>
  <c r="N46"/>
  <c r="N50"/>
  <c r="T50"/>
  <c r="N54"/>
  <c r="Q54" s="1"/>
  <c r="P54" s="1"/>
  <c r="R54" s="1"/>
  <c r="AA26"/>
  <c r="J28" i="32"/>
  <c r="J31"/>
  <c r="L31" s="1"/>
  <c r="L31" i="45" s="1"/>
  <c r="J56" i="32"/>
  <c r="J55"/>
  <c r="J53"/>
  <c r="J48"/>
  <c r="L48" s="1"/>
  <c r="L48" i="45" s="1"/>
  <c r="J47" i="32"/>
  <c r="J46"/>
  <c r="J43"/>
  <c r="J42"/>
  <c r="L42" s="1"/>
  <c r="L42" i="45" s="1"/>
  <c r="J37" i="32"/>
  <c r="J33"/>
  <c r="L33" s="1"/>
  <c r="L33" i="45" s="1"/>
  <c r="J54" i="32"/>
  <c r="J41"/>
  <c r="J36"/>
  <c r="L36" s="1"/>
  <c r="L36" i="45" s="1"/>
  <c r="AX50" i="20"/>
  <c r="AX46"/>
  <c r="AX54"/>
  <c r="CC39"/>
  <c r="F39" i="28" s="1"/>
  <c r="CC33" i="20"/>
  <c r="F33" i="28" s="1"/>
  <c r="AX39" i="20"/>
  <c r="CD43"/>
  <c r="AX30"/>
  <c r="T44" i="28"/>
  <c r="N44"/>
  <c r="Q44" s="1"/>
  <c r="P44" s="1"/>
  <c r="N48"/>
  <c r="Q48" s="1"/>
  <c r="T52"/>
  <c r="AA52" s="1"/>
  <c r="J30" i="32"/>
  <c r="L30" s="1"/>
  <c r="L30" i="45" s="1"/>
  <c r="J57" i="32"/>
  <c r="L57"/>
  <c r="L57" i="45" s="1"/>
  <c r="J45" i="32"/>
  <c r="J39"/>
  <c r="L39" s="1"/>
  <c r="L39" i="45"/>
  <c r="J35" i="32"/>
  <c r="L35" s="1"/>
  <c r="L35" i="45" s="1"/>
  <c r="T38" i="28"/>
  <c r="J50" i="32"/>
  <c r="L50" s="1"/>
  <c r="L50" i="45" s="1"/>
  <c r="J49" i="32"/>
  <c r="L49" s="1"/>
  <c r="L49" i="45" s="1"/>
  <c r="R33" i="28"/>
  <c r="R47"/>
  <c r="AA47"/>
  <c r="AZ52" i="20"/>
  <c r="CI52"/>
  <c r="CJ52" s="1"/>
  <c r="AC52" i="28"/>
  <c r="AZ47" i="20"/>
  <c r="CI47"/>
  <c r="CJ47" s="1"/>
  <c r="CI35"/>
  <c r="CJ35" s="1"/>
  <c r="AC35" i="28" s="1"/>
  <c r="AZ35" i="20"/>
  <c r="AZ29"/>
  <c r="CI29"/>
  <c r="CJ29"/>
  <c r="AC29" i="28" s="1"/>
  <c r="BA56" i="20"/>
  <c r="BD56" s="1"/>
  <c r="CC56"/>
  <c r="F56" i="28" s="1"/>
  <c r="N87" i="37"/>
  <c r="N151"/>
  <c r="AZ37" i="20"/>
  <c r="CI37"/>
  <c r="CJ37" s="1"/>
  <c r="N57" i="37"/>
  <c r="D42" i="28"/>
  <c r="D34"/>
  <c r="CP51" i="20"/>
  <c r="F51" i="32"/>
  <c r="CR43" i="20"/>
  <c r="F43" i="32"/>
  <c r="CR40" i="20"/>
  <c r="CP40"/>
  <c r="D40" i="28"/>
  <c r="BC23" i="20"/>
  <c r="H26" i="32"/>
  <c r="BQ23" i="20"/>
  <c r="BU23"/>
  <c r="AL17"/>
  <c r="F46" i="45"/>
  <c r="D35" i="28"/>
  <c r="Q35" s="1"/>
  <c r="P35"/>
  <c r="R35" s="1"/>
  <c r="H22" i="32"/>
  <c r="AK15" i="20"/>
  <c r="CN17"/>
  <c r="AS17"/>
  <c r="AT17" s="1"/>
  <c r="CA16"/>
  <c r="CA15"/>
  <c r="BZ15" s="1"/>
  <c r="CB14"/>
  <c r="CE14" s="1"/>
  <c r="CF14" s="1"/>
  <c r="CE13"/>
  <c r="CF13"/>
  <c r="CH13" s="1"/>
  <c r="H20" i="32"/>
  <c r="H20" i="45"/>
  <c r="CC13" i="20"/>
  <c r="F13" i="28"/>
  <c r="B16" i="45" s="1"/>
  <c r="CD13" i="20"/>
  <c r="AX13"/>
  <c r="AK26" i="28"/>
  <c r="AQ26" s="1"/>
  <c r="AI26"/>
  <c r="B54" i="45"/>
  <c r="CB15" i="20"/>
  <c r="L15" i="28"/>
  <c r="T15" s="1"/>
  <c r="H18" i="32"/>
  <c r="BQ15" i="20"/>
  <c r="BU15"/>
  <c r="BC15"/>
  <c r="AL15"/>
  <c r="H18" i="45"/>
  <c r="U17" i="20"/>
  <c r="BY17" s="1"/>
  <c r="BC17"/>
  <c r="Q52" i="28"/>
  <c r="B49" i="45"/>
  <c r="AK43" i="28"/>
  <c r="AS43" s="1"/>
  <c r="AY43" s="1"/>
  <c r="CN18" i="20"/>
  <c r="R31" i="29"/>
  <c r="S13" i="25"/>
  <c r="S8"/>
  <c r="L115" i="45" s="1"/>
  <c r="C115" s="1"/>
  <c r="BZ16" i="20"/>
  <c r="L16" i="28" s="1"/>
  <c r="N16" s="1"/>
  <c r="CB16" i="20"/>
  <c r="CE16" s="1"/>
  <c r="CF16" s="1"/>
  <c r="CG13"/>
  <c r="AS18"/>
  <c r="AT18" s="1"/>
  <c r="Q38" i="28"/>
  <c r="P38" s="1"/>
  <c r="CN19" i="20"/>
  <c r="AW15"/>
  <c r="AX15" s="1"/>
  <c r="AQ43" i="28"/>
  <c r="U18" i="20"/>
  <c r="BY18"/>
  <c r="AS19"/>
  <c r="AT19" s="1"/>
  <c r="AS26" i="28"/>
  <c r="BA26" s="1"/>
  <c r="BI26" s="1"/>
  <c r="BA13" i="20"/>
  <c r="BC19"/>
  <c r="U19"/>
  <c r="BY19" s="1"/>
  <c r="CN20"/>
  <c r="U23"/>
  <c r="BY23"/>
  <c r="U24"/>
  <c r="BY24" s="1"/>
  <c r="CN21"/>
  <c r="U20"/>
  <c r="BY20"/>
  <c r="BC21"/>
  <c r="U21"/>
  <c r="BY21"/>
  <c r="CN22"/>
  <c r="CN23"/>
  <c r="U22"/>
  <c r="BY22" s="1"/>
  <c r="CN24"/>
  <c r="CG55" l="1"/>
  <c r="CH55"/>
  <c r="N34" i="28"/>
  <c r="T34"/>
  <c r="AA34" s="1"/>
  <c r="CG16" i="20"/>
  <c r="AY16"/>
  <c r="AZ16" s="1"/>
  <c r="CH16"/>
  <c r="AC39" i="28"/>
  <c r="AK39" s="1"/>
  <c r="B42" i="45"/>
  <c r="AK51" i="28"/>
  <c r="AI51"/>
  <c r="CG45" i="20"/>
  <c r="CH45"/>
  <c r="N36" i="28"/>
  <c r="Q36" s="1"/>
  <c r="T36"/>
  <c r="CH54" i="20"/>
  <c r="CG54"/>
  <c r="AA31" i="28"/>
  <c r="AC31"/>
  <c r="B34" i="45"/>
  <c r="CH51" i="20"/>
  <c r="CG51"/>
  <c r="CG14"/>
  <c r="CH14"/>
  <c r="AY14"/>
  <c r="AC50" i="28"/>
  <c r="B53" i="45"/>
  <c r="CH27" i="20"/>
  <c r="CG27"/>
  <c r="B45" i="45"/>
  <c r="AC42" i="28"/>
  <c r="AC56"/>
  <c r="B31" i="45"/>
  <c r="AA28" i="28"/>
  <c r="AC28"/>
  <c r="J34" i="45"/>
  <c r="CD31" i="20"/>
  <c r="J34" i="32"/>
  <c r="CG49" i="20"/>
  <c r="CH49"/>
  <c r="J32" i="45"/>
  <c r="AX29" i="20"/>
  <c r="CD29"/>
  <c r="BA29"/>
  <c r="BD29" s="1"/>
  <c r="J32" i="32"/>
  <c r="BA53" i="20"/>
  <c r="BD53" s="1"/>
  <c r="AX53"/>
  <c r="CC53"/>
  <c r="F53" i="28" s="1"/>
  <c r="CD53" i="20"/>
  <c r="CD40"/>
  <c r="BA40"/>
  <c r="BD40" s="1"/>
  <c r="J43" i="45"/>
  <c r="AX40" i="20"/>
  <c r="BA48"/>
  <c r="BD48" s="1"/>
  <c r="CC48"/>
  <c r="F48" i="28" s="1"/>
  <c r="CD48" i="20"/>
  <c r="J51" i="32"/>
  <c r="Q34" i="28"/>
  <c r="CC15" i="20"/>
  <c r="F15" i="28" s="1"/>
  <c r="N15"/>
  <c r="AW16" i="20"/>
  <c r="R44" i="28"/>
  <c r="AA13"/>
  <c r="G78" i="45"/>
  <c r="AS20" i="20"/>
  <c r="T16" i="28"/>
  <c r="P53" i="22"/>
  <c r="N53" s="1"/>
  <c r="AY13" i="20"/>
  <c r="CE15"/>
  <c r="CF15" s="1"/>
  <c r="L51" i="32"/>
  <c r="L51" i="45" s="1"/>
  <c r="J40" i="32"/>
  <c r="L40" s="1"/>
  <c r="L40" i="45" s="1"/>
  <c r="AX38" i="20"/>
  <c r="BA41"/>
  <c r="BD41" s="1"/>
  <c r="G76" i="32"/>
  <c r="CC36" i="20"/>
  <c r="F36" i="28" s="1"/>
  <c r="AX31" i="20"/>
  <c r="B29" i="45"/>
  <c r="CG29" i="20"/>
  <c r="BA31"/>
  <c r="BD31" s="1"/>
  <c r="AO59"/>
  <c r="J58" i="45"/>
  <c r="CD55" i="20"/>
  <c r="J30" i="45"/>
  <c r="CD27" i="20"/>
  <c r="CC27"/>
  <c r="F27" i="28" s="1"/>
  <c r="B30" i="45" s="1"/>
  <c r="CD49" i="20"/>
  <c r="BA49"/>
  <c r="BD49" s="1"/>
  <c r="CC49"/>
  <c r="F49" i="28" s="1"/>
  <c r="BA30" i="20"/>
  <c r="BD30" s="1"/>
  <c r="CD30"/>
  <c r="CC30"/>
  <c r="F30" i="28" s="1"/>
  <c r="AX42" i="20"/>
  <c r="J45" i="45"/>
  <c r="BA42" i="20"/>
  <c r="BD42" s="1"/>
  <c r="CD42"/>
  <c r="CA19"/>
  <c r="CA18"/>
  <c r="L115" i="32"/>
  <c r="C115" s="1"/>
  <c r="AW14" i="20"/>
  <c r="N13" i="28"/>
  <c r="Q13" s="1"/>
  <c r="T56"/>
  <c r="AA56" s="1"/>
  <c r="AA30"/>
  <c r="AA46"/>
  <c r="G78" i="32"/>
  <c r="AI32" i="28"/>
  <c r="AK32"/>
  <c r="AS32" s="1"/>
  <c r="AY32" s="1"/>
  <c r="BA45" i="20"/>
  <c r="BD45" s="1"/>
  <c r="CD45"/>
  <c r="CC45"/>
  <c r="F45" i="28" s="1"/>
  <c r="BA36" i="20"/>
  <c r="BD36" s="1"/>
  <c r="AX36"/>
  <c r="N40" i="28"/>
  <c r="Q40" s="1"/>
  <c r="P40" s="1"/>
  <c r="R40" s="1"/>
  <c r="T40"/>
  <c r="AA40" s="1"/>
  <c r="BA44" i="20"/>
  <c r="BD44" s="1"/>
  <c r="CC44"/>
  <c r="F44" i="28" s="1"/>
  <c r="CD44" i="20"/>
  <c r="AX44"/>
  <c r="CG26"/>
  <c r="CH26"/>
  <c r="L53" i="32"/>
  <c r="L53" i="45" s="1"/>
  <c r="AA55" i="28"/>
  <c r="N143" i="29"/>
  <c r="CD15" i="20"/>
  <c r="BA15"/>
  <c r="BD15" s="1"/>
  <c r="BL15" s="1"/>
  <c r="I18" i="32" s="1"/>
  <c r="BA37" i="20"/>
  <c r="BD37" s="1"/>
  <c r="CC37"/>
  <c r="F37" i="28" s="1"/>
  <c r="CD37" i="20"/>
  <c r="CC38"/>
  <c r="F38" i="28" s="1"/>
  <c r="BA38" i="20"/>
  <c r="BD38" s="1"/>
  <c r="B183" i="45"/>
  <c r="B183" i="32"/>
  <c r="CG50" i="20"/>
  <c r="CH50"/>
  <c r="CA17"/>
  <c r="AA50" i="28"/>
  <c r="AA42"/>
  <c r="Q50"/>
  <c r="P50" s="1"/>
  <c r="R50" s="1"/>
  <c r="N185" i="37"/>
  <c r="N102" i="29"/>
  <c r="N113" s="1"/>
  <c r="L113"/>
  <c r="N39" i="28"/>
  <c r="T39"/>
  <c r="AA39" s="1"/>
  <c r="G17" i="45"/>
  <c r="BC14" i="20"/>
  <c r="AC47" i="28"/>
  <c r="L37" i="32"/>
  <c r="L37" i="45" s="1"/>
  <c r="L46" i="32"/>
  <c r="L46" i="45" s="1"/>
  <c r="R164" i="29"/>
  <c r="F43" i="23"/>
  <c r="F55" i="43"/>
  <c r="K53"/>
  <c r="K55" s="1"/>
  <c r="N53"/>
  <c r="N55" s="1"/>
  <c r="N29" i="28"/>
  <c r="Q29" s="1"/>
  <c r="T29"/>
  <c r="AA29" s="1"/>
  <c r="G26" i="32"/>
  <c r="AD23" i="20"/>
  <c r="R209" i="29"/>
  <c r="L44" i="32"/>
  <c r="L44" i="45" s="1"/>
  <c r="G45" i="32"/>
  <c r="L45" s="1"/>
  <c r="L45" i="45" s="1"/>
  <c r="G45"/>
  <c r="L143" i="29"/>
  <c r="L173"/>
  <c r="J53" i="43"/>
  <c r="G88" i="45"/>
  <c r="N42" i="29"/>
  <c r="N53" s="1"/>
  <c r="L53"/>
  <c r="AZ55" i="20"/>
  <c r="CI55"/>
  <c r="CJ55" s="1"/>
  <c r="AC55" i="28" s="1"/>
  <c r="N49"/>
  <c r="Q49" s="1"/>
  <c r="P49" s="1"/>
  <c r="R49" s="1"/>
  <c r="T49"/>
  <c r="AA49" s="1"/>
  <c r="AD21" i="20"/>
  <c r="G24" i="32"/>
  <c r="G24" i="45"/>
  <c r="D14" i="28"/>
  <c r="Q14" s="1"/>
  <c r="P14" s="1"/>
  <c r="AI14" i="20"/>
  <c r="AK14" s="1"/>
  <c r="CR14"/>
  <c r="O16"/>
  <c r="M17"/>
  <c r="N162" i="29"/>
  <c r="N173" s="1"/>
  <c r="L185" i="37"/>
  <c r="AZ26" i="20"/>
  <c r="J8" i="26"/>
  <c r="P35" i="22" s="1"/>
  <c r="G93" i="32"/>
  <c r="L56"/>
  <c r="L56" i="45" s="1"/>
  <c r="L54" i="32"/>
  <c r="L54" i="45" s="1"/>
  <c r="L41" i="32"/>
  <c r="L41" i="45" s="1"/>
  <c r="L34" i="32"/>
  <c r="L34" i="45" s="1"/>
  <c r="L32" i="32"/>
  <c r="L32" i="45" s="1"/>
  <c r="D46" i="28"/>
  <c r="Q46" s="1"/>
  <c r="P46" s="1"/>
  <c r="CE38" i="20"/>
  <c r="CF38" s="1"/>
  <c r="CE30"/>
  <c r="CF30" s="1"/>
  <c r="T15"/>
  <c r="R49" i="29"/>
  <c r="Q53" i="28"/>
  <c r="Q39"/>
  <c r="Q31"/>
  <c r="BO26"/>
  <c r="BQ26"/>
  <c r="BW26" s="1"/>
  <c r="AI41"/>
  <c r="AK41"/>
  <c r="AK47"/>
  <c r="AI47"/>
  <c r="AK29"/>
  <c r="AI29"/>
  <c r="AI35"/>
  <c r="AK35"/>
  <c r="R222" i="29"/>
  <c r="N25" i="28"/>
  <c r="T25"/>
  <c r="AA25" s="1"/>
  <c r="BF50" i="20"/>
  <c r="BF31"/>
  <c r="BF27"/>
  <c r="B36" i="45"/>
  <c r="AC33" i="28"/>
  <c r="B40" i="45"/>
  <c r="AC37" i="28"/>
  <c r="R46"/>
  <c r="BG26"/>
  <c r="BA43"/>
  <c r="AY26"/>
  <c r="AI39"/>
  <c r="BA32"/>
  <c r="BE13" i="20"/>
  <c r="D6" i="28"/>
  <c r="Q30"/>
  <c r="P32"/>
  <c r="R32" s="1"/>
  <c r="P48"/>
  <c r="R48" s="1"/>
  <c r="P17" i="29"/>
  <c r="R17" s="1"/>
  <c r="P20"/>
  <c r="R20" s="1"/>
  <c r="P12"/>
  <c r="L43" i="32"/>
  <c r="L43" i="45" s="1"/>
  <c r="R27" i="28"/>
  <c r="P52"/>
  <c r="R52" s="1"/>
  <c r="P28"/>
  <c r="R28" s="1"/>
  <c r="H41" i="38"/>
  <c r="H46" i="25"/>
  <c r="I46" s="1"/>
  <c r="H137" i="38"/>
  <c r="B57" i="45"/>
  <c r="P226" i="29"/>
  <c r="R226" s="1"/>
  <c r="H153" i="38"/>
  <c r="H53"/>
  <c r="H63"/>
  <c r="H144" i="25"/>
  <c r="I144" s="1"/>
  <c r="P133" i="29"/>
  <c r="R133" s="1"/>
  <c r="H186" i="38"/>
  <c r="H101"/>
  <c r="H327"/>
  <c r="H200" i="25"/>
  <c r="I200" s="1"/>
  <c r="P51" i="29"/>
  <c r="R51" s="1"/>
  <c r="H413" i="38"/>
  <c r="H182" i="25"/>
  <c r="I182" s="1"/>
  <c r="H99" i="38"/>
  <c r="P12" i="37"/>
  <c r="H236" i="25"/>
  <c r="I236" s="1"/>
  <c r="H108"/>
  <c r="I108" s="1"/>
  <c r="P197" i="29"/>
  <c r="R197" s="1"/>
  <c r="H294" i="38"/>
  <c r="H38"/>
  <c r="H251"/>
  <c r="H428"/>
  <c r="H172"/>
  <c r="P83" i="37"/>
  <c r="R83" s="1"/>
  <c r="H501" i="27"/>
  <c r="J501" s="1"/>
  <c r="L501" s="1"/>
  <c r="N501" s="1"/>
  <c r="O18" i="44"/>
  <c r="O43" s="1"/>
  <c r="O19"/>
  <c r="O44" s="1"/>
  <c r="O8"/>
  <c r="O33" s="1"/>
  <c r="O10"/>
  <c r="O35" s="1"/>
  <c r="AK31" i="28"/>
  <c r="AI31"/>
  <c r="AK40"/>
  <c r="AI40"/>
  <c r="H14" i="38"/>
  <c r="M14" s="1"/>
  <c r="H19"/>
  <c r="M19" s="1"/>
  <c r="H23"/>
  <c r="M23" s="1"/>
  <c r="H13" i="25"/>
  <c r="I12" i="40"/>
  <c r="K12" s="1"/>
  <c r="I14"/>
  <c r="K14" s="1"/>
  <c r="I16"/>
  <c r="K16" s="1"/>
  <c r="I18"/>
  <c r="K18" s="1"/>
  <c r="I20"/>
  <c r="K20" s="1"/>
  <c r="I22"/>
  <c r="K22" s="1"/>
  <c r="I24"/>
  <c r="K24" s="1"/>
  <c r="I26"/>
  <c r="K26" s="1"/>
  <c r="I28"/>
  <c r="K28" s="1"/>
  <c r="I30"/>
  <c r="K30" s="1"/>
  <c r="I32"/>
  <c r="K32" s="1"/>
  <c r="I34"/>
  <c r="K34" s="1"/>
  <c r="I36"/>
  <c r="K36" s="1"/>
  <c r="I38"/>
  <c r="K38" s="1"/>
  <c r="I40"/>
  <c r="K40" s="1"/>
  <c r="I42"/>
  <c r="K42" s="1"/>
  <c r="I44"/>
  <c r="K44" s="1"/>
  <c r="I46"/>
  <c r="K46" s="1"/>
  <c r="I48"/>
  <c r="K48" s="1"/>
  <c r="I50"/>
  <c r="K50" s="1"/>
  <c r="I52"/>
  <c r="K52" s="1"/>
  <c r="I54"/>
  <c r="K54" s="1"/>
  <c r="I56"/>
  <c r="K56" s="1"/>
  <c r="I58"/>
  <c r="K58" s="1"/>
  <c r="I60"/>
  <c r="K60" s="1"/>
  <c r="I62"/>
  <c r="K62" s="1"/>
  <c r="I64"/>
  <c r="K64" s="1"/>
  <c r="I66"/>
  <c r="K66" s="1"/>
  <c r="I68"/>
  <c r="K68" s="1"/>
  <c r="I70"/>
  <c r="K70" s="1"/>
  <c r="I72"/>
  <c r="K72" s="1"/>
  <c r="I74"/>
  <c r="K74" s="1"/>
  <c r="I76"/>
  <c r="K76" s="1"/>
  <c r="I78"/>
  <c r="K78" s="1"/>
  <c r="I80"/>
  <c r="K80" s="1"/>
  <c r="I82"/>
  <c r="K82" s="1"/>
  <c r="I84"/>
  <c r="K84" s="1"/>
  <c r="I86"/>
  <c r="K86" s="1"/>
  <c r="I88"/>
  <c r="K88" s="1"/>
  <c r="H15" i="27"/>
  <c r="J15" s="1"/>
  <c r="L15" s="1"/>
  <c r="N15" s="1"/>
  <c r="H19"/>
  <c r="J19" s="1"/>
  <c r="L19" s="1"/>
  <c r="N19" s="1"/>
  <c r="H23"/>
  <c r="J23" s="1"/>
  <c r="L23" s="1"/>
  <c r="N23" s="1"/>
  <c r="H27"/>
  <c r="J27" s="1"/>
  <c r="L27" s="1"/>
  <c r="N27" s="1"/>
  <c r="H31"/>
  <c r="J31" s="1"/>
  <c r="L31" s="1"/>
  <c r="N31" s="1"/>
  <c r="H35"/>
  <c r="J35" s="1"/>
  <c r="L35" s="1"/>
  <c r="N35" s="1"/>
  <c r="H39"/>
  <c r="J39" s="1"/>
  <c r="L39" s="1"/>
  <c r="N39" s="1"/>
  <c r="H43"/>
  <c r="J43" s="1"/>
  <c r="L43" s="1"/>
  <c r="N43" s="1"/>
  <c r="H47"/>
  <c r="J47" s="1"/>
  <c r="L47" s="1"/>
  <c r="N47" s="1"/>
  <c r="H51"/>
  <c r="J51" s="1"/>
  <c r="L51" s="1"/>
  <c r="N51" s="1"/>
  <c r="H15" i="38"/>
  <c r="M15" s="1"/>
  <c r="H17"/>
  <c r="M17" s="1"/>
  <c r="H20"/>
  <c r="M20" s="1"/>
  <c r="H16" i="27"/>
  <c r="J16" s="1"/>
  <c r="L16" s="1"/>
  <c r="N16" s="1"/>
  <c r="H20"/>
  <c r="J20" s="1"/>
  <c r="L20" s="1"/>
  <c r="N20" s="1"/>
  <c r="H24"/>
  <c r="J24" s="1"/>
  <c r="L24" s="1"/>
  <c r="N24" s="1"/>
  <c r="H28"/>
  <c r="J28" s="1"/>
  <c r="L28" s="1"/>
  <c r="N28" s="1"/>
  <c r="H32"/>
  <c r="J32" s="1"/>
  <c r="L32" s="1"/>
  <c r="N32" s="1"/>
  <c r="H36"/>
  <c r="J36" s="1"/>
  <c r="L36" s="1"/>
  <c r="N36" s="1"/>
  <c r="H40"/>
  <c r="J40" s="1"/>
  <c r="L40" s="1"/>
  <c r="N40" s="1"/>
  <c r="H44"/>
  <c r="J44" s="1"/>
  <c r="L44" s="1"/>
  <c r="N44" s="1"/>
  <c r="H48"/>
  <c r="J48" s="1"/>
  <c r="L48" s="1"/>
  <c r="N48" s="1"/>
  <c r="H52"/>
  <c r="J52" s="1"/>
  <c r="L52" s="1"/>
  <c r="N52" s="1"/>
  <c r="H56"/>
  <c r="J56" s="1"/>
  <c r="L56" s="1"/>
  <c r="N56" s="1"/>
  <c r="H60"/>
  <c r="J60" s="1"/>
  <c r="L60" s="1"/>
  <c r="N60" s="1"/>
  <c r="H64"/>
  <c r="J64" s="1"/>
  <c r="L64" s="1"/>
  <c r="N64" s="1"/>
  <c r="H68"/>
  <c r="J68" s="1"/>
  <c r="L68" s="1"/>
  <c r="N68" s="1"/>
  <c r="H72"/>
  <c r="J72" s="1"/>
  <c r="L72" s="1"/>
  <c r="N72" s="1"/>
  <c r="H76"/>
  <c r="J76" s="1"/>
  <c r="L76" s="1"/>
  <c r="N76" s="1"/>
  <c r="H80"/>
  <c r="J80" s="1"/>
  <c r="L80" s="1"/>
  <c r="N80" s="1"/>
  <c r="H84"/>
  <c r="J84" s="1"/>
  <c r="L84" s="1"/>
  <c r="N84" s="1"/>
  <c r="H88"/>
  <c r="J88" s="1"/>
  <c r="L88" s="1"/>
  <c r="N88" s="1"/>
  <c r="H92"/>
  <c r="J92" s="1"/>
  <c r="L92" s="1"/>
  <c r="N92" s="1"/>
  <c r="H96"/>
  <c r="J96" s="1"/>
  <c r="L96" s="1"/>
  <c r="N96" s="1"/>
  <c r="H100"/>
  <c r="J100" s="1"/>
  <c r="L100" s="1"/>
  <c r="N100" s="1"/>
  <c r="H104"/>
  <c r="J104" s="1"/>
  <c r="L104" s="1"/>
  <c r="N104" s="1"/>
  <c r="H108"/>
  <c r="J108" s="1"/>
  <c r="L108" s="1"/>
  <c r="N108" s="1"/>
  <c r="H112"/>
  <c r="J112" s="1"/>
  <c r="L112" s="1"/>
  <c r="N112" s="1"/>
  <c r="H116"/>
  <c r="J116" s="1"/>
  <c r="L116" s="1"/>
  <c r="N116" s="1"/>
  <c r="H120"/>
  <c r="J120" s="1"/>
  <c r="L120" s="1"/>
  <c r="N120" s="1"/>
  <c r="H124"/>
  <c r="J124" s="1"/>
  <c r="L124" s="1"/>
  <c r="N124" s="1"/>
  <c r="H128"/>
  <c r="J128" s="1"/>
  <c r="L128" s="1"/>
  <c r="N128" s="1"/>
  <c r="H132"/>
  <c r="J132" s="1"/>
  <c r="L132" s="1"/>
  <c r="N132" s="1"/>
  <c r="H136"/>
  <c r="J136" s="1"/>
  <c r="L136" s="1"/>
  <c r="N136" s="1"/>
  <c r="H140"/>
  <c r="J140" s="1"/>
  <c r="L140" s="1"/>
  <c r="N140" s="1"/>
  <c r="H144"/>
  <c r="J144" s="1"/>
  <c r="L144" s="1"/>
  <c r="N144" s="1"/>
  <c r="H148"/>
  <c r="J148" s="1"/>
  <c r="L148" s="1"/>
  <c r="N148" s="1"/>
  <c r="H152"/>
  <c r="J152" s="1"/>
  <c r="L152" s="1"/>
  <c r="N152" s="1"/>
  <c r="H156"/>
  <c r="J156" s="1"/>
  <c r="L156" s="1"/>
  <c r="N156" s="1"/>
  <c r="H160"/>
  <c r="J160" s="1"/>
  <c r="L160" s="1"/>
  <c r="N160" s="1"/>
  <c r="H164"/>
  <c r="J164" s="1"/>
  <c r="L164" s="1"/>
  <c r="N164" s="1"/>
  <c r="H168"/>
  <c r="J168" s="1"/>
  <c r="L168" s="1"/>
  <c r="N168" s="1"/>
  <c r="H172"/>
  <c r="J172" s="1"/>
  <c r="L172" s="1"/>
  <c r="N172" s="1"/>
  <c r="H176"/>
  <c r="J176" s="1"/>
  <c r="L176" s="1"/>
  <c r="N176" s="1"/>
  <c r="H180"/>
  <c r="J180" s="1"/>
  <c r="L180" s="1"/>
  <c r="N180" s="1"/>
  <c r="H184"/>
  <c r="J184" s="1"/>
  <c r="L184" s="1"/>
  <c r="N184" s="1"/>
  <c r="H13" i="38"/>
  <c r="M13" s="1"/>
  <c r="H21"/>
  <c r="M21" s="1"/>
  <c r="H24"/>
  <c r="M24" s="1"/>
  <c r="H16"/>
  <c r="M16" s="1"/>
  <c r="H22"/>
  <c r="M22" s="1"/>
  <c r="I13" i="40"/>
  <c r="I17"/>
  <c r="I21"/>
  <c r="I25"/>
  <c r="I29"/>
  <c r="I33"/>
  <c r="I37"/>
  <c r="I41"/>
  <c r="I45"/>
  <c r="I49"/>
  <c r="I53"/>
  <c r="I57"/>
  <c r="I61"/>
  <c r="I65"/>
  <c r="I69"/>
  <c r="I73"/>
  <c r="I77"/>
  <c r="I81"/>
  <c r="I85"/>
  <c r="I89"/>
  <c r="H18" i="27"/>
  <c r="J18" s="1"/>
  <c r="L18" s="1"/>
  <c r="N18" s="1"/>
  <c r="H26"/>
  <c r="J26" s="1"/>
  <c r="L26" s="1"/>
  <c r="N26" s="1"/>
  <c r="H34"/>
  <c r="J34" s="1"/>
  <c r="L34" s="1"/>
  <c r="N34" s="1"/>
  <c r="H42"/>
  <c r="J42" s="1"/>
  <c r="L42" s="1"/>
  <c r="N42" s="1"/>
  <c r="H50"/>
  <c r="J50" s="1"/>
  <c r="L50" s="1"/>
  <c r="N50" s="1"/>
  <c r="H54"/>
  <c r="J54" s="1"/>
  <c r="L54" s="1"/>
  <c r="N54" s="1"/>
  <c r="H61"/>
  <c r="J61" s="1"/>
  <c r="L61" s="1"/>
  <c r="N61" s="1"/>
  <c r="H63"/>
  <c r="J63" s="1"/>
  <c r="L63" s="1"/>
  <c r="N63" s="1"/>
  <c r="H70"/>
  <c r="J70" s="1"/>
  <c r="L70" s="1"/>
  <c r="N70" s="1"/>
  <c r="H77"/>
  <c r="J77" s="1"/>
  <c r="L77" s="1"/>
  <c r="N77" s="1"/>
  <c r="H79"/>
  <c r="J79" s="1"/>
  <c r="L79" s="1"/>
  <c r="N79" s="1"/>
  <c r="H86"/>
  <c r="J86" s="1"/>
  <c r="L86" s="1"/>
  <c r="N86" s="1"/>
  <c r="H93"/>
  <c r="J93" s="1"/>
  <c r="L93" s="1"/>
  <c r="N93" s="1"/>
  <c r="H95"/>
  <c r="J95" s="1"/>
  <c r="L95" s="1"/>
  <c r="N95" s="1"/>
  <c r="H102"/>
  <c r="J102" s="1"/>
  <c r="L102" s="1"/>
  <c r="N102" s="1"/>
  <c r="H109"/>
  <c r="J109" s="1"/>
  <c r="L109" s="1"/>
  <c r="N109" s="1"/>
  <c r="H111"/>
  <c r="J111" s="1"/>
  <c r="L111" s="1"/>
  <c r="N111" s="1"/>
  <c r="H118"/>
  <c r="J118" s="1"/>
  <c r="L118" s="1"/>
  <c r="N118" s="1"/>
  <c r="H125"/>
  <c r="J125" s="1"/>
  <c r="L125" s="1"/>
  <c r="N125" s="1"/>
  <c r="H127"/>
  <c r="J127" s="1"/>
  <c r="L127" s="1"/>
  <c r="N127" s="1"/>
  <c r="H134"/>
  <c r="J134" s="1"/>
  <c r="L134" s="1"/>
  <c r="N134" s="1"/>
  <c r="H141"/>
  <c r="J141" s="1"/>
  <c r="L141" s="1"/>
  <c r="N141" s="1"/>
  <c r="H143"/>
  <c r="J143" s="1"/>
  <c r="L143" s="1"/>
  <c r="N143" s="1"/>
  <c r="H150"/>
  <c r="J150" s="1"/>
  <c r="L150" s="1"/>
  <c r="N150" s="1"/>
  <c r="H157"/>
  <c r="J157" s="1"/>
  <c r="L157" s="1"/>
  <c r="N157" s="1"/>
  <c r="H159"/>
  <c r="J159" s="1"/>
  <c r="L159" s="1"/>
  <c r="N159" s="1"/>
  <c r="H166"/>
  <c r="J166" s="1"/>
  <c r="L166" s="1"/>
  <c r="N166" s="1"/>
  <c r="H173"/>
  <c r="J173" s="1"/>
  <c r="L173" s="1"/>
  <c r="N173" s="1"/>
  <c r="H175"/>
  <c r="J175" s="1"/>
  <c r="L175" s="1"/>
  <c r="N175" s="1"/>
  <c r="H182"/>
  <c r="J182" s="1"/>
  <c r="L182" s="1"/>
  <c r="N182" s="1"/>
  <c r="H187"/>
  <c r="J187" s="1"/>
  <c r="L187" s="1"/>
  <c r="N187" s="1"/>
  <c r="H191"/>
  <c r="J191" s="1"/>
  <c r="L191" s="1"/>
  <c r="N191" s="1"/>
  <c r="H195"/>
  <c r="J195" s="1"/>
  <c r="L195" s="1"/>
  <c r="N195" s="1"/>
  <c r="H199"/>
  <c r="J199" s="1"/>
  <c r="L199" s="1"/>
  <c r="N199" s="1"/>
  <c r="H203"/>
  <c r="J203" s="1"/>
  <c r="L203" s="1"/>
  <c r="N203" s="1"/>
  <c r="H207"/>
  <c r="J207" s="1"/>
  <c r="L207" s="1"/>
  <c r="N207" s="1"/>
  <c r="H211"/>
  <c r="J211" s="1"/>
  <c r="L211" s="1"/>
  <c r="N211" s="1"/>
  <c r="H215"/>
  <c r="J215" s="1"/>
  <c r="L215" s="1"/>
  <c r="N215" s="1"/>
  <c r="H219"/>
  <c r="J219" s="1"/>
  <c r="L219" s="1"/>
  <c r="N219" s="1"/>
  <c r="H223"/>
  <c r="J223" s="1"/>
  <c r="L223" s="1"/>
  <c r="N223" s="1"/>
  <c r="H227"/>
  <c r="J227" s="1"/>
  <c r="L227" s="1"/>
  <c r="N227" s="1"/>
  <c r="H231"/>
  <c r="J231" s="1"/>
  <c r="L231" s="1"/>
  <c r="N231" s="1"/>
  <c r="H235"/>
  <c r="J235" s="1"/>
  <c r="L235" s="1"/>
  <c r="N235" s="1"/>
  <c r="H239"/>
  <c r="J239" s="1"/>
  <c r="L239" s="1"/>
  <c r="N239" s="1"/>
  <c r="H243"/>
  <c r="J243" s="1"/>
  <c r="L243" s="1"/>
  <c r="N243" s="1"/>
  <c r="H247"/>
  <c r="J247" s="1"/>
  <c r="L247" s="1"/>
  <c r="N247" s="1"/>
  <c r="H251"/>
  <c r="J251" s="1"/>
  <c r="L251" s="1"/>
  <c r="N251" s="1"/>
  <c r="H255"/>
  <c r="J255" s="1"/>
  <c r="L255" s="1"/>
  <c r="N255" s="1"/>
  <c r="H259"/>
  <c r="J259" s="1"/>
  <c r="L259" s="1"/>
  <c r="N259" s="1"/>
  <c r="H263"/>
  <c r="J263" s="1"/>
  <c r="L263" s="1"/>
  <c r="N263" s="1"/>
  <c r="H267"/>
  <c r="J267" s="1"/>
  <c r="L267" s="1"/>
  <c r="N267" s="1"/>
  <c r="H271"/>
  <c r="J271" s="1"/>
  <c r="L271" s="1"/>
  <c r="N271" s="1"/>
  <c r="H275"/>
  <c r="J275" s="1"/>
  <c r="L275" s="1"/>
  <c r="N275" s="1"/>
  <c r="H279"/>
  <c r="J279" s="1"/>
  <c r="L279" s="1"/>
  <c r="N279" s="1"/>
  <c r="H283"/>
  <c r="J283" s="1"/>
  <c r="L283" s="1"/>
  <c r="N283" s="1"/>
  <c r="H287"/>
  <c r="J287" s="1"/>
  <c r="L287" s="1"/>
  <c r="N287" s="1"/>
  <c r="H291"/>
  <c r="J291" s="1"/>
  <c r="L291" s="1"/>
  <c r="N291" s="1"/>
  <c r="H17"/>
  <c r="J17" s="1"/>
  <c r="L17" s="1"/>
  <c r="N17" s="1"/>
  <c r="H25"/>
  <c r="J25" s="1"/>
  <c r="L25" s="1"/>
  <c r="N25" s="1"/>
  <c r="H33"/>
  <c r="J33" s="1"/>
  <c r="L33" s="1"/>
  <c r="N33" s="1"/>
  <c r="H41"/>
  <c r="J41" s="1"/>
  <c r="L41" s="1"/>
  <c r="N41" s="1"/>
  <c r="H49"/>
  <c r="J49" s="1"/>
  <c r="L49" s="1"/>
  <c r="N49" s="1"/>
  <c r="H57"/>
  <c r="J57" s="1"/>
  <c r="L57" s="1"/>
  <c r="N57" s="1"/>
  <c r="H59"/>
  <c r="J59" s="1"/>
  <c r="L59" s="1"/>
  <c r="N59" s="1"/>
  <c r="H66"/>
  <c r="J66" s="1"/>
  <c r="L66" s="1"/>
  <c r="N66" s="1"/>
  <c r="H73"/>
  <c r="J73" s="1"/>
  <c r="L73" s="1"/>
  <c r="N73" s="1"/>
  <c r="H75"/>
  <c r="J75" s="1"/>
  <c r="L75" s="1"/>
  <c r="N75" s="1"/>
  <c r="H82"/>
  <c r="J82" s="1"/>
  <c r="L82" s="1"/>
  <c r="N82" s="1"/>
  <c r="H89"/>
  <c r="J89" s="1"/>
  <c r="L89" s="1"/>
  <c r="N89" s="1"/>
  <c r="H91"/>
  <c r="J91" s="1"/>
  <c r="L91" s="1"/>
  <c r="N91" s="1"/>
  <c r="H98"/>
  <c r="J98" s="1"/>
  <c r="L98" s="1"/>
  <c r="N98" s="1"/>
  <c r="H105"/>
  <c r="J105" s="1"/>
  <c r="L105" s="1"/>
  <c r="N105" s="1"/>
  <c r="H107"/>
  <c r="J107" s="1"/>
  <c r="L107" s="1"/>
  <c r="N107" s="1"/>
  <c r="H114"/>
  <c r="J114" s="1"/>
  <c r="L114" s="1"/>
  <c r="N114" s="1"/>
  <c r="H121"/>
  <c r="J121" s="1"/>
  <c r="L121" s="1"/>
  <c r="N121" s="1"/>
  <c r="H123"/>
  <c r="J123" s="1"/>
  <c r="L123" s="1"/>
  <c r="N123" s="1"/>
  <c r="H130"/>
  <c r="J130" s="1"/>
  <c r="L130" s="1"/>
  <c r="N130" s="1"/>
  <c r="H137"/>
  <c r="J137" s="1"/>
  <c r="L137" s="1"/>
  <c r="N137" s="1"/>
  <c r="H139"/>
  <c r="J139" s="1"/>
  <c r="L139" s="1"/>
  <c r="N139" s="1"/>
  <c r="H146"/>
  <c r="J146" s="1"/>
  <c r="L146" s="1"/>
  <c r="N146" s="1"/>
  <c r="H153"/>
  <c r="J153" s="1"/>
  <c r="L153" s="1"/>
  <c r="N153" s="1"/>
  <c r="H155"/>
  <c r="J155" s="1"/>
  <c r="L155" s="1"/>
  <c r="N155" s="1"/>
  <c r="H162"/>
  <c r="J162" s="1"/>
  <c r="L162" s="1"/>
  <c r="N162" s="1"/>
  <c r="H169"/>
  <c r="J169" s="1"/>
  <c r="L169" s="1"/>
  <c r="N169" s="1"/>
  <c r="H171"/>
  <c r="J171" s="1"/>
  <c r="L171" s="1"/>
  <c r="N171" s="1"/>
  <c r="H178"/>
  <c r="J178" s="1"/>
  <c r="L178" s="1"/>
  <c r="N178" s="1"/>
  <c r="H185"/>
  <c r="J185" s="1"/>
  <c r="L185" s="1"/>
  <c r="N185" s="1"/>
  <c r="H188"/>
  <c r="J188" s="1"/>
  <c r="L188" s="1"/>
  <c r="N188" s="1"/>
  <c r="H192"/>
  <c r="J192" s="1"/>
  <c r="L192" s="1"/>
  <c r="N192" s="1"/>
  <c r="H196"/>
  <c r="J196" s="1"/>
  <c r="L196" s="1"/>
  <c r="N196" s="1"/>
  <c r="H200"/>
  <c r="J200" s="1"/>
  <c r="L200" s="1"/>
  <c r="N200" s="1"/>
  <c r="H204"/>
  <c r="J204" s="1"/>
  <c r="L204" s="1"/>
  <c r="N204" s="1"/>
  <c r="H208"/>
  <c r="J208" s="1"/>
  <c r="L208" s="1"/>
  <c r="N208" s="1"/>
  <c r="H212"/>
  <c r="J212" s="1"/>
  <c r="L212" s="1"/>
  <c r="N212" s="1"/>
  <c r="H216"/>
  <c r="J216" s="1"/>
  <c r="L216" s="1"/>
  <c r="N216" s="1"/>
  <c r="H220"/>
  <c r="J220" s="1"/>
  <c r="L220" s="1"/>
  <c r="N220" s="1"/>
  <c r="H224"/>
  <c r="J224" s="1"/>
  <c r="L224" s="1"/>
  <c r="N224" s="1"/>
  <c r="H228"/>
  <c r="J228" s="1"/>
  <c r="L228" s="1"/>
  <c r="N228" s="1"/>
  <c r="H232"/>
  <c r="J232" s="1"/>
  <c r="L232" s="1"/>
  <c r="N232" s="1"/>
  <c r="H236"/>
  <c r="J236" s="1"/>
  <c r="L236" s="1"/>
  <c r="N236" s="1"/>
  <c r="H240"/>
  <c r="J240" s="1"/>
  <c r="L240" s="1"/>
  <c r="N240" s="1"/>
  <c r="H244"/>
  <c r="J244" s="1"/>
  <c r="L244" s="1"/>
  <c r="N244" s="1"/>
  <c r="I15" i="40"/>
  <c r="I19"/>
  <c r="I23"/>
  <c r="I27"/>
  <c r="I31"/>
  <c r="I35"/>
  <c r="I39"/>
  <c r="I43"/>
  <c r="I47"/>
  <c r="I51"/>
  <c r="I55"/>
  <c r="I59"/>
  <c r="I63"/>
  <c r="I67"/>
  <c r="I71"/>
  <c r="I75"/>
  <c r="I79"/>
  <c r="I83"/>
  <c r="I87"/>
  <c r="H14" i="27"/>
  <c r="J14" s="1"/>
  <c r="L14" s="1"/>
  <c r="N14" s="1"/>
  <c r="H22"/>
  <c r="J22" s="1"/>
  <c r="L22" s="1"/>
  <c r="N22" s="1"/>
  <c r="H30"/>
  <c r="J30" s="1"/>
  <c r="L30" s="1"/>
  <c r="N30" s="1"/>
  <c r="H38"/>
  <c r="J38" s="1"/>
  <c r="L38" s="1"/>
  <c r="N38" s="1"/>
  <c r="H46"/>
  <c r="J46" s="1"/>
  <c r="L46" s="1"/>
  <c r="N46" s="1"/>
  <c r="H53"/>
  <c r="J53" s="1"/>
  <c r="L53" s="1"/>
  <c r="N53" s="1"/>
  <c r="H55"/>
  <c r="J55" s="1"/>
  <c r="L55" s="1"/>
  <c r="N55" s="1"/>
  <c r="H62"/>
  <c r="J62" s="1"/>
  <c r="L62" s="1"/>
  <c r="N62" s="1"/>
  <c r="H69"/>
  <c r="J69" s="1"/>
  <c r="L69" s="1"/>
  <c r="N69" s="1"/>
  <c r="H71"/>
  <c r="J71" s="1"/>
  <c r="L71" s="1"/>
  <c r="N71" s="1"/>
  <c r="H78"/>
  <c r="J78" s="1"/>
  <c r="L78" s="1"/>
  <c r="N78" s="1"/>
  <c r="H85"/>
  <c r="J85" s="1"/>
  <c r="L85" s="1"/>
  <c r="N85" s="1"/>
  <c r="H87"/>
  <c r="J87" s="1"/>
  <c r="L87" s="1"/>
  <c r="N87" s="1"/>
  <c r="H94"/>
  <c r="J94" s="1"/>
  <c r="L94" s="1"/>
  <c r="N94" s="1"/>
  <c r="H101"/>
  <c r="J101" s="1"/>
  <c r="L101" s="1"/>
  <c r="N101" s="1"/>
  <c r="H103"/>
  <c r="J103" s="1"/>
  <c r="L103" s="1"/>
  <c r="N103" s="1"/>
  <c r="H110"/>
  <c r="J110" s="1"/>
  <c r="L110" s="1"/>
  <c r="N110" s="1"/>
  <c r="H117"/>
  <c r="J117" s="1"/>
  <c r="L117" s="1"/>
  <c r="N117" s="1"/>
  <c r="H119"/>
  <c r="J119" s="1"/>
  <c r="L119" s="1"/>
  <c r="N119" s="1"/>
  <c r="H126"/>
  <c r="J126" s="1"/>
  <c r="L126" s="1"/>
  <c r="N126" s="1"/>
  <c r="H133"/>
  <c r="J133" s="1"/>
  <c r="L133" s="1"/>
  <c r="N133" s="1"/>
  <c r="H135"/>
  <c r="J135" s="1"/>
  <c r="L135" s="1"/>
  <c r="N135" s="1"/>
  <c r="H142"/>
  <c r="J142" s="1"/>
  <c r="L142" s="1"/>
  <c r="N142" s="1"/>
  <c r="H149"/>
  <c r="J149" s="1"/>
  <c r="L149" s="1"/>
  <c r="N149" s="1"/>
  <c r="H151"/>
  <c r="J151" s="1"/>
  <c r="L151" s="1"/>
  <c r="N151" s="1"/>
  <c r="H158"/>
  <c r="J158" s="1"/>
  <c r="L158" s="1"/>
  <c r="N158" s="1"/>
  <c r="H165"/>
  <c r="J165" s="1"/>
  <c r="L165" s="1"/>
  <c r="N165" s="1"/>
  <c r="H167"/>
  <c r="J167" s="1"/>
  <c r="L167" s="1"/>
  <c r="N167" s="1"/>
  <c r="H174"/>
  <c r="J174" s="1"/>
  <c r="L174" s="1"/>
  <c r="N174" s="1"/>
  <c r="H181"/>
  <c r="J181" s="1"/>
  <c r="L181" s="1"/>
  <c r="N181" s="1"/>
  <c r="H183"/>
  <c r="J183" s="1"/>
  <c r="L183" s="1"/>
  <c r="N183" s="1"/>
  <c r="H189"/>
  <c r="J189" s="1"/>
  <c r="L189" s="1"/>
  <c r="N189" s="1"/>
  <c r="H193"/>
  <c r="J193" s="1"/>
  <c r="L193" s="1"/>
  <c r="N193" s="1"/>
  <c r="H197"/>
  <c r="J197" s="1"/>
  <c r="L197" s="1"/>
  <c r="N197" s="1"/>
  <c r="H201"/>
  <c r="J201" s="1"/>
  <c r="L201" s="1"/>
  <c r="N201" s="1"/>
  <c r="H205"/>
  <c r="J205" s="1"/>
  <c r="L205" s="1"/>
  <c r="N205" s="1"/>
  <c r="H209"/>
  <c r="J209" s="1"/>
  <c r="L209" s="1"/>
  <c r="N209" s="1"/>
  <c r="H213"/>
  <c r="J213" s="1"/>
  <c r="L213" s="1"/>
  <c r="N213" s="1"/>
  <c r="H217"/>
  <c r="J217" s="1"/>
  <c r="L217" s="1"/>
  <c r="N217" s="1"/>
  <c r="H221"/>
  <c r="J221" s="1"/>
  <c r="L221" s="1"/>
  <c r="N221" s="1"/>
  <c r="H225"/>
  <c r="J225" s="1"/>
  <c r="L225" s="1"/>
  <c r="N225" s="1"/>
  <c r="H229"/>
  <c r="J229" s="1"/>
  <c r="L229" s="1"/>
  <c r="N229" s="1"/>
  <c r="H233"/>
  <c r="J233" s="1"/>
  <c r="L233" s="1"/>
  <c r="N233" s="1"/>
  <c r="H237"/>
  <c r="J237" s="1"/>
  <c r="L237" s="1"/>
  <c r="N237" s="1"/>
  <c r="H241"/>
  <c r="J241" s="1"/>
  <c r="L241" s="1"/>
  <c r="N241" s="1"/>
  <c r="H245"/>
  <c r="J245" s="1"/>
  <c r="L245" s="1"/>
  <c r="N245" s="1"/>
  <c r="H249"/>
  <c r="J249" s="1"/>
  <c r="L249" s="1"/>
  <c r="N249" s="1"/>
  <c r="H253"/>
  <c r="J253" s="1"/>
  <c r="L253" s="1"/>
  <c r="N253" s="1"/>
  <c r="H257"/>
  <c r="J257" s="1"/>
  <c r="L257" s="1"/>
  <c r="N257" s="1"/>
  <c r="H261"/>
  <c r="J261" s="1"/>
  <c r="L261" s="1"/>
  <c r="N261" s="1"/>
  <c r="H265"/>
  <c r="J265" s="1"/>
  <c r="L265" s="1"/>
  <c r="N265" s="1"/>
  <c r="H269"/>
  <c r="J269" s="1"/>
  <c r="L269" s="1"/>
  <c r="N269" s="1"/>
  <c r="H273"/>
  <c r="J273" s="1"/>
  <c r="L273" s="1"/>
  <c r="N273" s="1"/>
  <c r="H277"/>
  <c r="J277" s="1"/>
  <c r="L277" s="1"/>
  <c r="N277" s="1"/>
  <c r="H281"/>
  <c r="J281" s="1"/>
  <c r="L281" s="1"/>
  <c r="N281" s="1"/>
  <c r="H285"/>
  <c r="J285" s="1"/>
  <c r="L285" s="1"/>
  <c r="N285" s="1"/>
  <c r="H289"/>
  <c r="J289" s="1"/>
  <c r="L289" s="1"/>
  <c r="N289" s="1"/>
  <c r="H293"/>
  <c r="J293" s="1"/>
  <c r="L293" s="1"/>
  <c r="N293" s="1"/>
  <c r="H297"/>
  <c r="J297" s="1"/>
  <c r="L297" s="1"/>
  <c r="N297" s="1"/>
  <c r="H301"/>
  <c r="J301" s="1"/>
  <c r="L301" s="1"/>
  <c r="N301" s="1"/>
  <c r="H305"/>
  <c r="J305" s="1"/>
  <c r="L305" s="1"/>
  <c r="N305" s="1"/>
  <c r="H309"/>
  <c r="J309" s="1"/>
  <c r="L309" s="1"/>
  <c r="N309" s="1"/>
  <c r="H313"/>
  <c r="J313" s="1"/>
  <c r="L313" s="1"/>
  <c r="N313" s="1"/>
  <c r="H317"/>
  <c r="J317" s="1"/>
  <c r="L317" s="1"/>
  <c r="N317" s="1"/>
  <c r="H321"/>
  <c r="J321" s="1"/>
  <c r="L321" s="1"/>
  <c r="N321" s="1"/>
  <c r="H325"/>
  <c r="J325" s="1"/>
  <c r="L325" s="1"/>
  <c r="N325" s="1"/>
  <c r="H329"/>
  <c r="J329" s="1"/>
  <c r="L329" s="1"/>
  <c r="N329" s="1"/>
  <c r="H333"/>
  <c r="J333" s="1"/>
  <c r="L333" s="1"/>
  <c r="N333" s="1"/>
  <c r="H337"/>
  <c r="J337" s="1"/>
  <c r="L337" s="1"/>
  <c r="N337" s="1"/>
  <c r="H341"/>
  <c r="J341" s="1"/>
  <c r="L341" s="1"/>
  <c r="N341" s="1"/>
  <c r="H345"/>
  <c r="J345" s="1"/>
  <c r="L345" s="1"/>
  <c r="N345" s="1"/>
  <c r="H349"/>
  <c r="J349" s="1"/>
  <c r="L349" s="1"/>
  <c r="N349" s="1"/>
  <c r="H353"/>
  <c r="J353" s="1"/>
  <c r="L353" s="1"/>
  <c r="N353" s="1"/>
  <c r="H357"/>
  <c r="J357" s="1"/>
  <c r="L357" s="1"/>
  <c r="N357" s="1"/>
  <c r="H361"/>
  <c r="J361" s="1"/>
  <c r="L361" s="1"/>
  <c r="N361" s="1"/>
  <c r="H365"/>
  <c r="J365" s="1"/>
  <c r="L365" s="1"/>
  <c r="N365" s="1"/>
  <c r="H369"/>
  <c r="J369" s="1"/>
  <c r="L369" s="1"/>
  <c r="N369" s="1"/>
  <c r="H373"/>
  <c r="J373" s="1"/>
  <c r="L373" s="1"/>
  <c r="N373" s="1"/>
  <c r="H377"/>
  <c r="J377" s="1"/>
  <c r="L377" s="1"/>
  <c r="N377" s="1"/>
  <c r="H381"/>
  <c r="J381" s="1"/>
  <c r="L381" s="1"/>
  <c r="N381" s="1"/>
  <c r="H385"/>
  <c r="J385" s="1"/>
  <c r="L385" s="1"/>
  <c r="N385" s="1"/>
  <c r="H389"/>
  <c r="J389" s="1"/>
  <c r="L389" s="1"/>
  <c r="N389" s="1"/>
  <c r="H393"/>
  <c r="J393" s="1"/>
  <c r="L393" s="1"/>
  <c r="N393" s="1"/>
  <c r="H397"/>
  <c r="J397" s="1"/>
  <c r="L397" s="1"/>
  <c r="N397" s="1"/>
  <c r="H401"/>
  <c r="J401" s="1"/>
  <c r="L401" s="1"/>
  <c r="N401" s="1"/>
  <c r="H405"/>
  <c r="J405" s="1"/>
  <c r="L405" s="1"/>
  <c r="N405" s="1"/>
  <c r="H409"/>
  <c r="J409" s="1"/>
  <c r="L409" s="1"/>
  <c r="N409" s="1"/>
  <c r="H413"/>
  <c r="J413" s="1"/>
  <c r="L413" s="1"/>
  <c r="N413" s="1"/>
  <c r="H417"/>
  <c r="J417" s="1"/>
  <c r="L417" s="1"/>
  <c r="N417" s="1"/>
  <c r="H421"/>
  <c r="J421" s="1"/>
  <c r="L421" s="1"/>
  <c r="N421" s="1"/>
  <c r="H425"/>
  <c r="J425" s="1"/>
  <c r="L425" s="1"/>
  <c r="N425" s="1"/>
  <c r="H429"/>
  <c r="J429" s="1"/>
  <c r="L429" s="1"/>
  <c r="N429" s="1"/>
  <c r="H433"/>
  <c r="J433" s="1"/>
  <c r="L433" s="1"/>
  <c r="N433" s="1"/>
  <c r="H437"/>
  <c r="J437" s="1"/>
  <c r="L437" s="1"/>
  <c r="N437" s="1"/>
  <c r="H441"/>
  <c r="J441" s="1"/>
  <c r="L441" s="1"/>
  <c r="N441" s="1"/>
  <c r="H445"/>
  <c r="J445" s="1"/>
  <c r="L445" s="1"/>
  <c r="N445" s="1"/>
  <c r="H449"/>
  <c r="J449" s="1"/>
  <c r="L449" s="1"/>
  <c r="N449" s="1"/>
  <c r="H453"/>
  <c r="J453" s="1"/>
  <c r="L453" s="1"/>
  <c r="N453" s="1"/>
  <c r="H457"/>
  <c r="J457" s="1"/>
  <c r="L457" s="1"/>
  <c r="N457" s="1"/>
  <c r="H461"/>
  <c r="J461" s="1"/>
  <c r="L461" s="1"/>
  <c r="N461" s="1"/>
  <c r="H465"/>
  <c r="J465" s="1"/>
  <c r="L465" s="1"/>
  <c r="N465" s="1"/>
  <c r="H469"/>
  <c r="J469" s="1"/>
  <c r="L469" s="1"/>
  <c r="N469" s="1"/>
  <c r="H473"/>
  <c r="J473" s="1"/>
  <c r="L473" s="1"/>
  <c r="N473" s="1"/>
  <c r="H477"/>
  <c r="J477" s="1"/>
  <c r="L477" s="1"/>
  <c r="N477" s="1"/>
  <c r="H482"/>
  <c r="J482" s="1"/>
  <c r="L482" s="1"/>
  <c r="N482" s="1"/>
  <c r="H486"/>
  <c r="J486" s="1"/>
  <c r="L486" s="1"/>
  <c r="N486" s="1"/>
  <c r="H491"/>
  <c r="J491" s="1"/>
  <c r="L491" s="1"/>
  <c r="N491" s="1"/>
  <c r="H495"/>
  <c r="J495" s="1"/>
  <c r="L495" s="1"/>
  <c r="N495" s="1"/>
  <c r="H496"/>
  <c r="J496" s="1"/>
  <c r="L496" s="1"/>
  <c r="N496" s="1"/>
  <c r="H500"/>
  <c r="J500" s="1"/>
  <c r="L500" s="1"/>
  <c r="N500" s="1"/>
  <c r="H504"/>
  <c r="J504" s="1"/>
  <c r="L504" s="1"/>
  <c r="N504" s="1"/>
  <c r="H508"/>
  <c r="J508" s="1"/>
  <c r="L508" s="1"/>
  <c r="N508" s="1"/>
  <c r="H513"/>
  <c r="J513" s="1"/>
  <c r="L513" s="1"/>
  <c r="N513" s="1"/>
  <c r="H517"/>
  <c r="J517" s="1"/>
  <c r="L517" s="1"/>
  <c r="N517" s="1"/>
  <c r="H522"/>
  <c r="J522" s="1"/>
  <c r="L522" s="1"/>
  <c r="N522" s="1"/>
  <c r="H526"/>
  <c r="J526" s="1"/>
  <c r="L526" s="1"/>
  <c r="N526" s="1"/>
  <c r="H532"/>
  <c r="J532" s="1"/>
  <c r="L532" s="1"/>
  <c r="N532" s="1"/>
  <c r="H537"/>
  <c r="J537" s="1"/>
  <c r="L537" s="1"/>
  <c r="N537" s="1"/>
  <c r="H538"/>
  <c r="J538" s="1"/>
  <c r="L538" s="1"/>
  <c r="N538" s="1"/>
  <c r="H543"/>
  <c r="J543" s="1"/>
  <c r="L543" s="1"/>
  <c r="N543" s="1"/>
  <c r="H547"/>
  <c r="J547" s="1"/>
  <c r="L547" s="1"/>
  <c r="N547" s="1"/>
  <c r="H552"/>
  <c r="J552" s="1"/>
  <c r="L552" s="1"/>
  <c r="N552" s="1"/>
  <c r="H556"/>
  <c r="J556" s="1"/>
  <c r="L556" s="1"/>
  <c r="N556" s="1"/>
  <c r="H561"/>
  <c r="J561" s="1"/>
  <c r="L561" s="1"/>
  <c r="N561" s="1"/>
  <c r="H568"/>
  <c r="J568" s="1"/>
  <c r="L568" s="1"/>
  <c r="N568" s="1"/>
  <c r="H569"/>
  <c r="J569" s="1"/>
  <c r="L569" s="1"/>
  <c r="N569" s="1"/>
  <c r="H576"/>
  <c r="J576" s="1"/>
  <c r="L576" s="1"/>
  <c r="N576" s="1"/>
  <c r="H577"/>
  <c r="J577" s="1"/>
  <c r="L577" s="1"/>
  <c r="N577" s="1"/>
  <c r="H586"/>
  <c r="J586" s="1"/>
  <c r="L586" s="1"/>
  <c r="N586" s="1"/>
  <c r="H591"/>
  <c r="J591" s="1"/>
  <c r="L591" s="1"/>
  <c r="N591" s="1"/>
  <c r="H596"/>
  <c r="J596" s="1"/>
  <c r="L596" s="1"/>
  <c r="N596" s="1"/>
  <c r="H605"/>
  <c r="J605" s="1"/>
  <c r="L605" s="1"/>
  <c r="N605" s="1"/>
  <c r="H606"/>
  <c r="J606" s="1"/>
  <c r="L606" s="1"/>
  <c r="N606" s="1"/>
  <c r="H78" i="25"/>
  <c r="I78" s="1"/>
  <c r="H145" i="38"/>
  <c r="H241"/>
  <c r="H13" i="27"/>
  <c r="J13" s="1"/>
  <c r="L13" s="1"/>
  <c r="H45"/>
  <c r="J45" s="1"/>
  <c r="L45" s="1"/>
  <c r="N45" s="1"/>
  <c r="H83"/>
  <c r="J83" s="1"/>
  <c r="L83" s="1"/>
  <c r="N83" s="1"/>
  <c r="H90"/>
  <c r="J90" s="1"/>
  <c r="L90" s="1"/>
  <c r="N90" s="1"/>
  <c r="H97"/>
  <c r="J97" s="1"/>
  <c r="L97" s="1"/>
  <c r="N97" s="1"/>
  <c r="H147"/>
  <c r="J147" s="1"/>
  <c r="L147" s="1"/>
  <c r="N147" s="1"/>
  <c r="H154"/>
  <c r="J154" s="1"/>
  <c r="L154" s="1"/>
  <c r="N154" s="1"/>
  <c r="H161"/>
  <c r="J161" s="1"/>
  <c r="L161" s="1"/>
  <c r="N161" s="1"/>
  <c r="H194"/>
  <c r="J194" s="1"/>
  <c r="L194" s="1"/>
  <c r="N194" s="1"/>
  <c r="H210"/>
  <c r="J210" s="1"/>
  <c r="L210" s="1"/>
  <c r="N210" s="1"/>
  <c r="H226"/>
  <c r="J226" s="1"/>
  <c r="L226" s="1"/>
  <c r="N226" s="1"/>
  <c r="H242"/>
  <c r="J242" s="1"/>
  <c r="L242" s="1"/>
  <c r="N242" s="1"/>
  <c r="H246"/>
  <c r="J246" s="1"/>
  <c r="L246" s="1"/>
  <c r="N246" s="1"/>
  <c r="H254"/>
  <c r="J254" s="1"/>
  <c r="L254" s="1"/>
  <c r="N254" s="1"/>
  <c r="H262"/>
  <c r="J262" s="1"/>
  <c r="L262" s="1"/>
  <c r="N262" s="1"/>
  <c r="H270"/>
  <c r="J270" s="1"/>
  <c r="L270" s="1"/>
  <c r="N270" s="1"/>
  <c r="H278"/>
  <c r="J278" s="1"/>
  <c r="L278" s="1"/>
  <c r="N278" s="1"/>
  <c r="H286"/>
  <c r="J286" s="1"/>
  <c r="L286" s="1"/>
  <c r="N286" s="1"/>
  <c r="H295"/>
  <c r="J295" s="1"/>
  <c r="L295" s="1"/>
  <c r="N295" s="1"/>
  <c r="H302"/>
  <c r="J302" s="1"/>
  <c r="L302" s="1"/>
  <c r="N302" s="1"/>
  <c r="H304"/>
  <c r="J304" s="1"/>
  <c r="L304" s="1"/>
  <c r="N304" s="1"/>
  <c r="H311"/>
  <c r="J311" s="1"/>
  <c r="L311" s="1"/>
  <c r="N311" s="1"/>
  <c r="H318"/>
  <c r="J318" s="1"/>
  <c r="L318" s="1"/>
  <c r="N318" s="1"/>
  <c r="H320"/>
  <c r="J320" s="1"/>
  <c r="L320" s="1"/>
  <c r="N320" s="1"/>
  <c r="H327"/>
  <c r="J327" s="1"/>
  <c r="L327" s="1"/>
  <c r="N327" s="1"/>
  <c r="H334"/>
  <c r="J334" s="1"/>
  <c r="L334" s="1"/>
  <c r="N334" s="1"/>
  <c r="H336"/>
  <c r="J336" s="1"/>
  <c r="L336" s="1"/>
  <c r="N336" s="1"/>
  <c r="H343"/>
  <c r="J343" s="1"/>
  <c r="L343" s="1"/>
  <c r="N343" s="1"/>
  <c r="H350"/>
  <c r="J350" s="1"/>
  <c r="L350" s="1"/>
  <c r="N350" s="1"/>
  <c r="H352"/>
  <c r="J352" s="1"/>
  <c r="L352" s="1"/>
  <c r="N352" s="1"/>
  <c r="H359"/>
  <c r="J359" s="1"/>
  <c r="L359" s="1"/>
  <c r="N359" s="1"/>
  <c r="H18" i="38"/>
  <c r="M18" s="1"/>
  <c r="H21" i="27"/>
  <c r="J21" s="1"/>
  <c r="L21" s="1"/>
  <c r="N21" s="1"/>
  <c r="H67"/>
  <c r="J67" s="1"/>
  <c r="L67" s="1"/>
  <c r="N67" s="1"/>
  <c r="H74"/>
  <c r="J74" s="1"/>
  <c r="L74" s="1"/>
  <c r="N74" s="1"/>
  <c r="H81"/>
  <c r="J81" s="1"/>
  <c r="L81" s="1"/>
  <c r="N81" s="1"/>
  <c r="H131"/>
  <c r="J131" s="1"/>
  <c r="L131" s="1"/>
  <c r="N131" s="1"/>
  <c r="H138"/>
  <c r="J138" s="1"/>
  <c r="L138" s="1"/>
  <c r="N138" s="1"/>
  <c r="H145"/>
  <c r="J145" s="1"/>
  <c r="L145" s="1"/>
  <c r="N145" s="1"/>
  <c r="H198"/>
  <c r="J198" s="1"/>
  <c r="L198" s="1"/>
  <c r="N198" s="1"/>
  <c r="H214"/>
  <c r="J214" s="1"/>
  <c r="L214" s="1"/>
  <c r="N214" s="1"/>
  <c r="H230"/>
  <c r="J230" s="1"/>
  <c r="L230" s="1"/>
  <c r="N230" s="1"/>
  <c r="H248"/>
  <c r="J248" s="1"/>
  <c r="L248" s="1"/>
  <c r="N248" s="1"/>
  <c r="H256"/>
  <c r="J256" s="1"/>
  <c r="L256" s="1"/>
  <c r="N256" s="1"/>
  <c r="H264"/>
  <c r="J264" s="1"/>
  <c r="L264" s="1"/>
  <c r="N264" s="1"/>
  <c r="H272"/>
  <c r="J272" s="1"/>
  <c r="L272" s="1"/>
  <c r="N272" s="1"/>
  <c r="H280"/>
  <c r="J280" s="1"/>
  <c r="L280" s="1"/>
  <c r="N280" s="1"/>
  <c r="H288"/>
  <c r="J288" s="1"/>
  <c r="L288" s="1"/>
  <c r="N288" s="1"/>
  <c r="H298"/>
  <c r="J298" s="1"/>
  <c r="L298" s="1"/>
  <c r="N298" s="1"/>
  <c r="H300"/>
  <c r="J300" s="1"/>
  <c r="L300" s="1"/>
  <c r="N300" s="1"/>
  <c r="H307"/>
  <c r="J307" s="1"/>
  <c r="L307" s="1"/>
  <c r="N307" s="1"/>
  <c r="H314"/>
  <c r="J314" s="1"/>
  <c r="L314" s="1"/>
  <c r="N314" s="1"/>
  <c r="H316"/>
  <c r="J316" s="1"/>
  <c r="L316" s="1"/>
  <c r="N316" s="1"/>
  <c r="H323"/>
  <c r="J323" s="1"/>
  <c r="L323" s="1"/>
  <c r="N323" s="1"/>
  <c r="H330"/>
  <c r="J330" s="1"/>
  <c r="L330" s="1"/>
  <c r="N330" s="1"/>
  <c r="H332"/>
  <c r="J332" s="1"/>
  <c r="L332" s="1"/>
  <c r="N332" s="1"/>
  <c r="H339"/>
  <c r="J339" s="1"/>
  <c r="L339" s="1"/>
  <c r="N339" s="1"/>
  <c r="H346"/>
  <c r="J346" s="1"/>
  <c r="L346" s="1"/>
  <c r="N346" s="1"/>
  <c r="H348"/>
  <c r="J348" s="1"/>
  <c r="L348" s="1"/>
  <c r="N348" s="1"/>
  <c r="H355"/>
  <c r="J355" s="1"/>
  <c r="L355" s="1"/>
  <c r="N355" s="1"/>
  <c r="H362"/>
  <c r="J362" s="1"/>
  <c r="L362" s="1"/>
  <c r="N362" s="1"/>
  <c r="H364"/>
  <c r="J364" s="1"/>
  <c r="L364" s="1"/>
  <c r="N364" s="1"/>
  <c r="H371"/>
  <c r="J371" s="1"/>
  <c r="L371" s="1"/>
  <c r="N371" s="1"/>
  <c r="H378"/>
  <c r="J378" s="1"/>
  <c r="L378" s="1"/>
  <c r="N378" s="1"/>
  <c r="H380"/>
  <c r="J380" s="1"/>
  <c r="L380" s="1"/>
  <c r="N380" s="1"/>
  <c r="H387"/>
  <c r="J387" s="1"/>
  <c r="L387" s="1"/>
  <c r="N387" s="1"/>
  <c r="H394"/>
  <c r="J394" s="1"/>
  <c r="L394" s="1"/>
  <c r="N394" s="1"/>
  <c r="H396"/>
  <c r="J396" s="1"/>
  <c r="L396" s="1"/>
  <c r="N396" s="1"/>
  <c r="H403"/>
  <c r="J403" s="1"/>
  <c r="L403" s="1"/>
  <c r="N403" s="1"/>
  <c r="H410"/>
  <c r="J410" s="1"/>
  <c r="L410" s="1"/>
  <c r="N410" s="1"/>
  <c r="H412"/>
  <c r="J412" s="1"/>
  <c r="L412" s="1"/>
  <c r="N412" s="1"/>
  <c r="H419"/>
  <c r="J419" s="1"/>
  <c r="L419" s="1"/>
  <c r="N419" s="1"/>
  <c r="H426"/>
  <c r="J426" s="1"/>
  <c r="L426" s="1"/>
  <c r="N426" s="1"/>
  <c r="H428"/>
  <c r="J428" s="1"/>
  <c r="L428" s="1"/>
  <c r="N428" s="1"/>
  <c r="H435"/>
  <c r="J435" s="1"/>
  <c r="L435" s="1"/>
  <c r="N435" s="1"/>
  <c r="H442"/>
  <c r="J442" s="1"/>
  <c r="L442" s="1"/>
  <c r="N442" s="1"/>
  <c r="H444"/>
  <c r="J444" s="1"/>
  <c r="L444" s="1"/>
  <c r="N444" s="1"/>
  <c r="H451"/>
  <c r="J451" s="1"/>
  <c r="L451" s="1"/>
  <c r="N451" s="1"/>
  <c r="H458"/>
  <c r="J458" s="1"/>
  <c r="L458" s="1"/>
  <c r="N458" s="1"/>
  <c r="H460"/>
  <c r="J460" s="1"/>
  <c r="L460" s="1"/>
  <c r="N460" s="1"/>
  <c r="H467"/>
  <c r="J467" s="1"/>
  <c r="L467" s="1"/>
  <c r="N467" s="1"/>
  <c r="H474"/>
  <c r="J474" s="1"/>
  <c r="L474" s="1"/>
  <c r="N474" s="1"/>
  <c r="H476"/>
  <c r="J476" s="1"/>
  <c r="L476" s="1"/>
  <c r="N476" s="1"/>
  <c r="H481"/>
  <c r="J481" s="1"/>
  <c r="L481" s="1"/>
  <c r="N481" s="1"/>
  <c r="H493"/>
  <c r="J493" s="1"/>
  <c r="L493" s="1"/>
  <c r="N493" s="1"/>
  <c r="H498"/>
  <c r="J498" s="1"/>
  <c r="L498" s="1"/>
  <c r="N498" s="1"/>
  <c r="H505"/>
  <c r="J505" s="1"/>
  <c r="L505" s="1"/>
  <c r="N505" s="1"/>
  <c r="H507"/>
  <c r="J507" s="1"/>
  <c r="L507" s="1"/>
  <c r="N507" s="1"/>
  <c r="H512"/>
  <c r="J512" s="1"/>
  <c r="L512" s="1"/>
  <c r="N512" s="1"/>
  <c r="H519"/>
  <c r="J519" s="1"/>
  <c r="L519" s="1"/>
  <c r="N519" s="1"/>
  <c r="H524"/>
  <c r="J524" s="1"/>
  <c r="L524" s="1"/>
  <c r="N524" s="1"/>
  <c r="H529"/>
  <c r="J529" s="1"/>
  <c r="L529" s="1"/>
  <c r="N529" s="1"/>
  <c r="H542"/>
  <c r="J542" s="1"/>
  <c r="L542" s="1"/>
  <c r="N542" s="1"/>
  <c r="H549"/>
  <c r="J549" s="1"/>
  <c r="L549" s="1"/>
  <c r="N549" s="1"/>
  <c r="H554"/>
  <c r="J554" s="1"/>
  <c r="L554" s="1"/>
  <c r="N554" s="1"/>
  <c r="H559"/>
  <c r="J559" s="1"/>
  <c r="L559" s="1"/>
  <c r="N559" s="1"/>
  <c r="H567"/>
  <c r="J567" s="1"/>
  <c r="L567" s="1"/>
  <c r="N567" s="1"/>
  <c r="H570"/>
  <c r="J570" s="1"/>
  <c r="L570" s="1"/>
  <c r="N570" s="1"/>
  <c r="H572"/>
  <c r="J572" s="1"/>
  <c r="L572" s="1"/>
  <c r="N572" s="1"/>
  <c r="H579"/>
  <c r="J579" s="1"/>
  <c r="L579" s="1"/>
  <c r="N579" s="1"/>
  <c r="H582"/>
  <c r="J582" s="1"/>
  <c r="L582" s="1"/>
  <c r="N582" s="1"/>
  <c r="H585"/>
  <c r="J585" s="1"/>
  <c r="L585" s="1"/>
  <c r="N585" s="1"/>
  <c r="H590"/>
  <c r="J590" s="1"/>
  <c r="L590" s="1"/>
  <c r="N590" s="1"/>
  <c r="H593"/>
  <c r="J593" s="1"/>
  <c r="L593" s="1"/>
  <c r="N593" s="1"/>
  <c r="H595"/>
  <c r="J595" s="1"/>
  <c r="L595" s="1"/>
  <c r="N595" s="1"/>
  <c r="H598"/>
  <c r="J598" s="1"/>
  <c r="L598" s="1"/>
  <c r="N598" s="1"/>
  <c r="H601"/>
  <c r="J601" s="1"/>
  <c r="L601" s="1"/>
  <c r="N601" s="1"/>
  <c r="H604"/>
  <c r="J604" s="1"/>
  <c r="L604" s="1"/>
  <c r="N604" s="1"/>
  <c r="H607"/>
  <c r="J607" s="1"/>
  <c r="L607" s="1"/>
  <c r="N607" s="1"/>
  <c r="H169" i="38"/>
  <c r="H62" i="25"/>
  <c r="I62" s="1"/>
  <c r="H29" i="27"/>
  <c r="J29" s="1"/>
  <c r="L29" s="1"/>
  <c r="N29" s="1"/>
  <c r="H58"/>
  <c r="J58" s="1"/>
  <c r="L58" s="1"/>
  <c r="N58" s="1"/>
  <c r="H65"/>
  <c r="J65" s="1"/>
  <c r="L65" s="1"/>
  <c r="N65" s="1"/>
  <c r="H115"/>
  <c r="J115" s="1"/>
  <c r="L115" s="1"/>
  <c r="N115" s="1"/>
  <c r="H122"/>
  <c r="J122" s="1"/>
  <c r="L122" s="1"/>
  <c r="N122" s="1"/>
  <c r="H129"/>
  <c r="J129" s="1"/>
  <c r="L129" s="1"/>
  <c r="N129" s="1"/>
  <c r="H179"/>
  <c r="J179" s="1"/>
  <c r="L179" s="1"/>
  <c r="N179" s="1"/>
  <c r="H186"/>
  <c r="J186" s="1"/>
  <c r="L186" s="1"/>
  <c r="N186" s="1"/>
  <c r="H202"/>
  <c r="J202" s="1"/>
  <c r="L202" s="1"/>
  <c r="N202" s="1"/>
  <c r="H218"/>
  <c r="J218" s="1"/>
  <c r="L218" s="1"/>
  <c r="N218" s="1"/>
  <c r="H234"/>
  <c r="J234" s="1"/>
  <c r="L234" s="1"/>
  <c r="N234" s="1"/>
  <c r="H250"/>
  <c r="J250" s="1"/>
  <c r="L250" s="1"/>
  <c r="N250" s="1"/>
  <c r="H258"/>
  <c r="J258" s="1"/>
  <c r="L258" s="1"/>
  <c r="N258" s="1"/>
  <c r="H266"/>
  <c r="J266" s="1"/>
  <c r="L266" s="1"/>
  <c r="N266" s="1"/>
  <c r="H274"/>
  <c r="J274" s="1"/>
  <c r="L274" s="1"/>
  <c r="N274" s="1"/>
  <c r="H282"/>
  <c r="J282" s="1"/>
  <c r="L282" s="1"/>
  <c r="N282" s="1"/>
  <c r="H290"/>
  <c r="J290" s="1"/>
  <c r="L290" s="1"/>
  <c r="N290" s="1"/>
  <c r="H294"/>
  <c r="J294" s="1"/>
  <c r="L294" s="1"/>
  <c r="N294" s="1"/>
  <c r="H296"/>
  <c r="J296" s="1"/>
  <c r="L296" s="1"/>
  <c r="N296" s="1"/>
  <c r="H303"/>
  <c r="J303" s="1"/>
  <c r="L303" s="1"/>
  <c r="N303" s="1"/>
  <c r="H310"/>
  <c r="J310" s="1"/>
  <c r="L310" s="1"/>
  <c r="N310" s="1"/>
  <c r="H312"/>
  <c r="J312" s="1"/>
  <c r="L312" s="1"/>
  <c r="N312" s="1"/>
  <c r="H319"/>
  <c r="J319" s="1"/>
  <c r="L319" s="1"/>
  <c r="N319" s="1"/>
  <c r="H326"/>
  <c r="J326" s="1"/>
  <c r="L326" s="1"/>
  <c r="N326" s="1"/>
  <c r="H328"/>
  <c r="J328" s="1"/>
  <c r="L328" s="1"/>
  <c r="N328" s="1"/>
  <c r="H335"/>
  <c r="J335" s="1"/>
  <c r="L335" s="1"/>
  <c r="N335" s="1"/>
  <c r="H342"/>
  <c r="J342" s="1"/>
  <c r="L342" s="1"/>
  <c r="N342" s="1"/>
  <c r="H344"/>
  <c r="J344" s="1"/>
  <c r="L344" s="1"/>
  <c r="N344" s="1"/>
  <c r="H351"/>
  <c r="J351" s="1"/>
  <c r="L351" s="1"/>
  <c r="N351" s="1"/>
  <c r="H358"/>
  <c r="J358" s="1"/>
  <c r="L358" s="1"/>
  <c r="N358" s="1"/>
  <c r="H360"/>
  <c r="J360" s="1"/>
  <c r="L360" s="1"/>
  <c r="N360" s="1"/>
  <c r="H367"/>
  <c r="J367" s="1"/>
  <c r="L367" s="1"/>
  <c r="N367" s="1"/>
  <c r="H374"/>
  <c r="J374" s="1"/>
  <c r="L374" s="1"/>
  <c r="N374" s="1"/>
  <c r="H376"/>
  <c r="J376" s="1"/>
  <c r="L376" s="1"/>
  <c r="N376" s="1"/>
  <c r="H383"/>
  <c r="J383" s="1"/>
  <c r="L383" s="1"/>
  <c r="N383" s="1"/>
  <c r="H390"/>
  <c r="J390" s="1"/>
  <c r="L390" s="1"/>
  <c r="N390" s="1"/>
  <c r="H392"/>
  <c r="J392" s="1"/>
  <c r="L392" s="1"/>
  <c r="N392" s="1"/>
  <c r="H177"/>
  <c r="J177" s="1"/>
  <c r="L177" s="1"/>
  <c r="N177" s="1"/>
  <c r="H222"/>
  <c r="J222" s="1"/>
  <c r="L222" s="1"/>
  <c r="N222" s="1"/>
  <c r="H276"/>
  <c r="J276" s="1"/>
  <c r="L276" s="1"/>
  <c r="N276" s="1"/>
  <c r="H324"/>
  <c r="J324" s="1"/>
  <c r="L324" s="1"/>
  <c r="N324" s="1"/>
  <c r="H331"/>
  <c r="J331" s="1"/>
  <c r="L331" s="1"/>
  <c r="N331" s="1"/>
  <c r="H338"/>
  <c r="J338" s="1"/>
  <c r="L338" s="1"/>
  <c r="N338" s="1"/>
  <c r="H368"/>
  <c r="J368" s="1"/>
  <c r="L368" s="1"/>
  <c r="N368" s="1"/>
  <c r="H375"/>
  <c r="J375" s="1"/>
  <c r="L375" s="1"/>
  <c r="N375" s="1"/>
  <c r="H382"/>
  <c r="J382" s="1"/>
  <c r="L382" s="1"/>
  <c r="N382" s="1"/>
  <c r="H395"/>
  <c r="J395" s="1"/>
  <c r="L395" s="1"/>
  <c r="N395" s="1"/>
  <c r="H400"/>
  <c r="J400" s="1"/>
  <c r="L400" s="1"/>
  <c r="N400" s="1"/>
  <c r="H402"/>
  <c r="J402" s="1"/>
  <c r="L402" s="1"/>
  <c r="N402" s="1"/>
  <c r="H407"/>
  <c r="J407" s="1"/>
  <c r="L407" s="1"/>
  <c r="N407" s="1"/>
  <c r="H414"/>
  <c r="J414" s="1"/>
  <c r="L414" s="1"/>
  <c r="N414" s="1"/>
  <c r="H440"/>
  <c r="J440" s="1"/>
  <c r="L440" s="1"/>
  <c r="N440" s="1"/>
  <c r="H447"/>
  <c r="J447" s="1"/>
  <c r="L447" s="1"/>
  <c r="N447" s="1"/>
  <c r="H452"/>
  <c r="J452" s="1"/>
  <c r="L452" s="1"/>
  <c r="N452" s="1"/>
  <c r="H454"/>
  <c r="J454" s="1"/>
  <c r="L454" s="1"/>
  <c r="N454" s="1"/>
  <c r="H459"/>
  <c r="J459" s="1"/>
  <c r="L459" s="1"/>
  <c r="N459" s="1"/>
  <c r="H464"/>
  <c r="J464" s="1"/>
  <c r="L464" s="1"/>
  <c r="N464" s="1"/>
  <c r="H466"/>
  <c r="J466" s="1"/>
  <c r="L466" s="1"/>
  <c r="N466" s="1"/>
  <c r="H471"/>
  <c r="J471" s="1"/>
  <c r="L471" s="1"/>
  <c r="N471" s="1"/>
  <c r="H478"/>
  <c r="J478" s="1"/>
  <c r="L478" s="1"/>
  <c r="N478" s="1"/>
  <c r="H480"/>
  <c r="J480" s="1"/>
  <c r="L480" s="1"/>
  <c r="N480" s="1"/>
  <c r="H485"/>
  <c r="J485" s="1"/>
  <c r="L485" s="1"/>
  <c r="N485" s="1"/>
  <c r="H487"/>
  <c r="J487" s="1"/>
  <c r="L487" s="1"/>
  <c r="N487" s="1"/>
  <c r="H489"/>
  <c r="J489" s="1"/>
  <c r="L489" s="1"/>
  <c r="N489" s="1"/>
  <c r="H494"/>
  <c r="J494" s="1"/>
  <c r="L494" s="1"/>
  <c r="N494" s="1"/>
  <c r="H503"/>
  <c r="J503" s="1"/>
  <c r="L503" s="1"/>
  <c r="N503" s="1"/>
  <c r="H510"/>
  <c r="J510" s="1"/>
  <c r="L510" s="1"/>
  <c r="N510" s="1"/>
  <c r="H528"/>
  <c r="J528" s="1"/>
  <c r="L528" s="1"/>
  <c r="N528" s="1"/>
  <c r="H530"/>
  <c r="J530" s="1"/>
  <c r="L530" s="1"/>
  <c r="N530" s="1"/>
  <c r="H539"/>
  <c r="J539" s="1"/>
  <c r="L539" s="1"/>
  <c r="N539" s="1"/>
  <c r="H546"/>
  <c r="J546" s="1"/>
  <c r="L546" s="1"/>
  <c r="N546" s="1"/>
  <c r="H548"/>
  <c r="J548" s="1"/>
  <c r="L548" s="1"/>
  <c r="N548" s="1"/>
  <c r="H550"/>
  <c r="J550" s="1"/>
  <c r="L550" s="1"/>
  <c r="N550" s="1"/>
  <c r="H555"/>
  <c r="J555" s="1"/>
  <c r="L555" s="1"/>
  <c r="N555" s="1"/>
  <c r="H557"/>
  <c r="J557" s="1"/>
  <c r="L557" s="1"/>
  <c r="N557" s="1"/>
  <c r="H564"/>
  <c r="J564" s="1"/>
  <c r="L564" s="1"/>
  <c r="N564" s="1"/>
  <c r="H566"/>
  <c r="J566" s="1"/>
  <c r="L566" s="1"/>
  <c r="N566" s="1"/>
  <c r="H574"/>
  <c r="J574" s="1"/>
  <c r="L574" s="1"/>
  <c r="N574" s="1"/>
  <c r="H578"/>
  <c r="J578" s="1"/>
  <c r="L578" s="1"/>
  <c r="N578" s="1"/>
  <c r="H580"/>
  <c r="J580" s="1"/>
  <c r="L580" s="1"/>
  <c r="N580" s="1"/>
  <c r="H584"/>
  <c r="J584" s="1"/>
  <c r="L584" s="1"/>
  <c r="N584" s="1"/>
  <c r="H588"/>
  <c r="J588" s="1"/>
  <c r="L588" s="1"/>
  <c r="N588" s="1"/>
  <c r="H597"/>
  <c r="J597" s="1"/>
  <c r="L597" s="1"/>
  <c r="N597" s="1"/>
  <c r="H599"/>
  <c r="J599" s="1"/>
  <c r="L599" s="1"/>
  <c r="N599" s="1"/>
  <c r="H603"/>
  <c r="J603" s="1"/>
  <c r="L603" s="1"/>
  <c r="N603" s="1"/>
  <c r="P134" i="29"/>
  <c r="R134" s="1"/>
  <c r="H222" i="25"/>
  <c r="I222" s="1"/>
  <c r="P179" i="37"/>
  <c r="R179" s="1"/>
  <c r="P149"/>
  <c r="R149" s="1"/>
  <c r="H40" i="38"/>
  <c r="H56"/>
  <c r="H72"/>
  <c r="H88"/>
  <c r="H104"/>
  <c r="H120"/>
  <c r="H136"/>
  <c r="H152"/>
  <c r="H168"/>
  <c r="H184"/>
  <c r="H200"/>
  <c r="H216"/>
  <c r="H232"/>
  <c r="H248"/>
  <c r="H264"/>
  <c r="H280"/>
  <c r="H296"/>
  <c r="H312"/>
  <c r="H328"/>
  <c r="H344"/>
  <c r="H360"/>
  <c r="H376"/>
  <c r="H392"/>
  <c r="H408"/>
  <c r="H424"/>
  <c r="H440"/>
  <c r="H456"/>
  <c r="P77" i="29"/>
  <c r="R77" s="1"/>
  <c r="P81"/>
  <c r="R81" s="1"/>
  <c r="P135"/>
  <c r="R135" s="1"/>
  <c r="P139"/>
  <c r="R139" s="1"/>
  <c r="P163"/>
  <c r="R163" s="1"/>
  <c r="P114" i="37"/>
  <c r="R114" s="1"/>
  <c r="P142"/>
  <c r="R142" s="1"/>
  <c r="P174"/>
  <c r="P52"/>
  <c r="R52" s="1"/>
  <c r="H322" i="25"/>
  <c r="I322" s="1"/>
  <c r="H306"/>
  <c r="I306" s="1"/>
  <c r="H290"/>
  <c r="I290" s="1"/>
  <c r="H274"/>
  <c r="I274" s="1"/>
  <c r="H258"/>
  <c r="I258" s="1"/>
  <c r="H242"/>
  <c r="I242" s="1"/>
  <c r="H226"/>
  <c r="I226" s="1"/>
  <c r="H210"/>
  <c r="I210" s="1"/>
  <c r="H194"/>
  <c r="I194" s="1"/>
  <c r="H178"/>
  <c r="I178" s="1"/>
  <c r="H162"/>
  <c r="I162" s="1"/>
  <c r="H146"/>
  <c r="I146" s="1"/>
  <c r="H130"/>
  <c r="I130" s="1"/>
  <c r="H114"/>
  <c r="I114" s="1"/>
  <c r="H98"/>
  <c r="I98" s="1"/>
  <c r="H82"/>
  <c r="I82" s="1"/>
  <c r="H66"/>
  <c r="I66" s="1"/>
  <c r="H50"/>
  <c r="I50" s="1"/>
  <c r="H34"/>
  <c r="I34" s="1"/>
  <c r="H18"/>
  <c r="I18" s="1"/>
  <c r="P44" i="29"/>
  <c r="R44" s="1"/>
  <c r="H443" i="38"/>
  <c r="H411"/>
  <c r="H379"/>
  <c r="H347"/>
  <c r="H315"/>
  <c r="H283"/>
  <c r="H113" i="27"/>
  <c r="J113" s="1"/>
  <c r="L113" s="1"/>
  <c r="N113" s="1"/>
  <c r="H170"/>
  <c r="J170" s="1"/>
  <c r="L170" s="1"/>
  <c r="N170" s="1"/>
  <c r="H238"/>
  <c r="J238" s="1"/>
  <c r="L238" s="1"/>
  <c r="N238" s="1"/>
  <c r="H252"/>
  <c r="J252" s="1"/>
  <c r="L252" s="1"/>
  <c r="N252" s="1"/>
  <c r="H284"/>
  <c r="J284" s="1"/>
  <c r="L284" s="1"/>
  <c r="N284" s="1"/>
  <c r="H308"/>
  <c r="J308" s="1"/>
  <c r="L308" s="1"/>
  <c r="N308" s="1"/>
  <c r="H315"/>
  <c r="J315" s="1"/>
  <c r="L315" s="1"/>
  <c r="N315" s="1"/>
  <c r="H322"/>
  <c r="J322" s="1"/>
  <c r="L322" s="1"/>
  <c r="N322" s="1"/>
  <c r="H363"/>
  <c r="J363" s="1"/>
  <c r="L363" s="1"/>
  <c r="N363" s="1"/>
  <c r="H370"/>
  <c r="J370" s="1"/>
  <c r="L370" s="1"/>
  <c r="N370" s="1"/>
  <c r="H388"/>
  <c r="J388" s="1"/>
  <c r="L388" s="1"/>
  <c r="N388" s="1"/>
  <c r="H399"/>
  <c r="J399" s="1"/>
  <c r="L399" s="1"/>
  <c r="N399" s="1"/>
  <c r="H404"/>
  <c r="J404" s="1"/>
  <c r="L404" s="1"/>
  <c r="N404" s="1"/>
  <c r="H406"/>
  <c r="J406" s="1"/>
  <c r="L406" s="1"/>
  <c r="N406" s="1"/>
  <c r="H411"/>
  <c r="J411" s="1"/>
  <c r="L411" s="1"/>
  <c r="N411" s="1"/>
  <c r="H416"/>
  <c r="J416" s="1"/>
  <c r="L416" s="1"/>
  <c r="N416" s="1"/>
  <c r="H418"/>
  <c r="J418" s="1"/>
  <c r="L418" s="1"/>
  <c r="N418" s="1"/>
  <c r="H423"/>
  <c r="J423" s="1"/>
  <c r="L423" s="1"/>
  <c r="N423" s="1"/>
  <c r="H430"/>
  <c r="J430" s="1"/>
  <c r="L430" s="1"/>
  <c r="N430" s="1"/>
  <c r="H456"/>
  <c r="J456" s="1"/>
  <c r="L456" s="1"/>
  <c r="N456" s="1"/>
  <c r="H463"/>
  <c r="J463" s="1"/>
  <c r="L463" s="1"/>
  <c r="N463" s="1"/>
  <c r="H468"/>
  <c r="J468" s="1"/>
  <c r="L468" s="1"/>
  <c r="N468" s="1"/>
  <c r="H470"/>
  <c r="J470" s="1"/>
  <c r="L470" s="1"/>
  <c r="N470" s="1"/>
  <c r="H475"/>
  <c r="J475" s="1"/>
  <c r="L475" s="1"/>
  <c r="N475" s="1"/>
  <c r="H484"/>
  <c r="J484" s="1"/>
  <c r="L484" s="1"/>
  <c r="N484" s="1"/>
  <c r="H514"/>
  <c r="J514" s="1"/>
  <c r="L514" s="1"/>
  <c r="N514" s="1"/>
  <c r="H521"/>
  <c r="J521" s="1"/>
  <c r="L521" s="1"/>
  <c r="N521" s="1"/>
  <c r="H523"/>
  <c r="J523" s="1"/>
  <c r="L523" s="1"/>
  <c r="N523" s="1"/>
  <c r="H534"/>
  <c r="J534" s="1"/>
  <c r="L534" s="1"/>
  <c r="N534" s="1"/>
  <c r="H541"/>
  <c r="J541" s="1"/>
  <c r="L541" s="1"/>
  <c r="N541" s="1"/>
  <c r="H545"/>
  <c r="J545" s="1"/>
  <c r="L545" s="1"/>
  <c r="N545" s="1"/>
  <c r="H583"/>
  <c r="J583" s="1"/>
  <c r="L583" s="1"/>
  <c r="N583" s="1"/>
  <c r="H592"/>
  <c r="J592" s="1"/>
  <c r="L592" s="1"/>
  <c r="N592" s="1"/>
  <c r="H594"/>
  <c r="J594" s="1"/>
  <c r="L594" s="1"/>
  <c r="N594" s="1"/>
  <c r="H602"/>
  <c r="J602" s="1"/>
  <c r="L602" s="1"/>
  <c r="N602" s="1"/>
  <c r="H608"/>
  <c r="J608" s="1"/>
  <c r="L608" s="1"/>
  <c r="N608" s="1"/>
  <c r="H610"/>
  <c r="J610" s="1"/>
  <c r="L610" s="1"/>
  <c r="N610" s="1"/>
  <c r="H612"/>
  <c r="J612" s="1"/>
  <c r="L612" s="1"/>
  <c r="N612" s="1"/>
  <c r="H318" i="25"/>
  <c r="I318" s="1"/>
  <c r="H286"/>
  <c r="I286" s="1"/>
  <c r="P50" i="29"/>
  <c r="R50" s="1"/>
  <c r="P175" i="37"/>
  <c r="R175" s="1"/>
  <c r="P145"/>
  <c r="R145" s="1"/>
  <c r="P141"/>
  <c r="R141" s="1"/>
  <c r="P117"/>
  <c r="R117" s="1"/>
  <c r="P113"/>
  <c r="R113" s="1"/>
  <c r="P85"/>
  <c r="R85" s="1"/>
  <c r="P81"/>
  <c r="R81" s="1"/>
  <c r="P77"/>
  <c r="R77" s="1"/>
  <c r="P53"/>
  <c r="R53" s="1"/>
  <c r="P49"/>
  <c r="R49" s="1"/>
  <c r="P21"/>
  <c r="R21" s="1"/>
  <c r="P17"/>
  <c r="R17" s="1"/>
  <c r="P13"/>
  <c r="R13" s="1"/>
  <c r="H36" i="38"/>
  <c r="H52"/>
  <c r="H68"/>
  <c r="H84"/>
  <c r="H100"/>
  <c r="H116"/>
  <c r="H132"/>
  <c r="H148"/>
  <c r="H164"/>
  <c r="H180"/>
  <c r="H196"/>
  <c r="H212"/>
  <c r="H228"/>
  <c r="H244"/>
  <c r="H260"/>
  <c r="H276"/>
  <c r="H292"/>
  <c r="H308"/>
  <c r="H324"/>
  <c r="H340"/>
  <c r="H356"/>
  <c r="H372"/>
  <c r="H388"/>
  <c r="H404"/>
  <c r="H420"/>
  <c r="H436"/>
  <c r="H452"/>
  <c r="P167" i="29"/>
  <c r="R167" s="1"/>
  <c r="P171"/>
  <c r="R171" s="1"/>
  <c r="P50" i="37"/>
  <c r="R50" s="1"/>
  <c r="P78"/>
  <c r="R78" s="1"/>
  <c r="P110"/>
  <c r="P148"/>
  <c r="R148" s="1"/>
  <c r="P228" i="29"/>
  <c r="R228" s="1"/>
  <c r="P200"/>
  <c r="R200" s="1"/>
  <c r="P192"/>
  <c r="P136"/>
  <c r="R136" s="1"/>
  <c r="H451" i="38"/>
  <c r="H419"/>
  <c r="H387"/>
  <c r="H355"/>
  <c r="H323"/>
  <c r="H291"/>
  <c r="H259"/>
  <c r="H227"/>
  <c r="H195"/>
  <c r="H163"/>
  <c r="H337" i="25"/>
  <c r="I337" s="1"/>
  <c r="H329"/>
  <c r="I329" s="1"/>
  <c r="H321"/>
  <c r="I321" s="1"/>
  <c r="H313"/>
  <c r="I313" s="1"/>
  <c r="H305"/>
  <c r="I305" s="1"/>
  <c r="H297"/>
  <c r="I297" s="1"/>
  <c r="H289"/>
  <c r="I289" s="1"/>
  <c r="H281"/>
  <c r="I281" s="1"/>
  <c r="H273"/>
  <c r="I273" s="1"/>
  <c r="H265"/>
  <c r="I265" s="1"/>
  <c r="H257"/>
  <c r="I257" s="1"/>
  <c r="H249"/>
  <c r="I249" s="1"/>
  <c r="H241"/>
  <c r="I241" s="1"/>
  <c r="H233"/>
  <c r="I233" s="1"/>
  <c r="H225"/>
  <c r="I225" s="1"/>
  <c r="H217"/>
  <c r="I217" s="1"/>
  <c r="H209"/>
  <c r="I209" s="1"/>
  <c r="H201"/>
  <c r="I201" s="1"/>
  <c r="H193"/>
  <c r="I193" s="1"/>
  <c r="H185"/>
  <c r="I185" s="1"/>
  <c r="H177"/>
  <c r="I177" s="1"/>
  <c r="H169"/>
  <c r="I169" s="1"/>
  <c r="H161"/>
  <c r="I161" s="1"/>
  <c r="H153"/>
  <c r="I153" s="1"/>
  <c r="H145"/>
  <c r="I145" s="1"/>
  <c r="H137"/>
  <c r="I137" s="1"/>
  <c r="H129"/>
  <c r="I129" s="1"/>
  <c r="H121"/>
  <c r="I121" s="1"/>
  <c r="H113"/>
  <c r="I113" s="1"/>
  <c r="H105"/>
  <c r="I105" s="1"/>
  <c r="H97"/>
  <c r="I97" s="1"/>
  <c r="H89"/>
  <c r="I89" s="1"/>
  <c r="H81"/>
  <c r="I81" s="1"/>
  <c r="H73"/>
  <c r="I73" s="1"/>
  <c r="H65"/>
  <c r="I65" s="1"/>
  <c r="H57"/>
  <c r="I57" s="1"/>
  <c r="H335"/>
  <c r="I335" s="1"/>
  <c r="H327"/>
  <c r="I327" s="1"/>
  <c r="H319"/>
  <c r="I319" s="1"/>
  <c r="H311"/>
  <c r="I311" s="1"/>
  <c r="H303"/>
  <c r="I303" s="1"/>
  <c r="H295"/>
  <c r="I295" s="1"/>
  <c r="H287"/>
  <c r="I287" s="1"/>
  <c r="H279"/>
  <c r="I279" s="1"/>
  <c r="H271"/>
  <c r="I271" s="1"/>
  <c r="H263"/>
  <c r="I263" s="1"/>
  <c r="H255"/>
  <c r="I255" s="1"/>
  <c r="H247"/>
  <c r="I247" s="1"/>
  <c r="H239"/>
  <c r="I239" s="1"/>
  <c r="H231"/>
  <c r="I231" s="1"/>
  <c r="H223"/>
  <c r="I223" s="1"/>
  <c r="H215"/>
  <c r="I215" s="1"/>
  <c r="H207"/>
  <c r="I207" s="1"/>
  <c r="H199"/>
  <c r="I199" s="1"/>
  <c r="H191"/>
  <c r="I191" s="1"/>
  <c r="H183"/>
  <c r="I183" s="1"/>
  <c r="H175"/>
  <c r="I175" s="1"/>
  <c r="H167"/>
  <c r="I167" s="1"/>
  <c r="H159"/>
  <c r="I159" s="1"/>
  <c r="H151"/>
  <c r="I151" s="1"/>
  <c r="H143"/>
  <c r="I143" s="1"/>
  <c r="H135"/>
  <c r="I135" s="1"/>
  <c r="H127"/>
  <c r="I127" s="1"/>
  <c r="H119"/>
  <c r="I119" s="1"/>
  <c r="H111"/>
  <c r="I111" s="1"/>
  <c r="H103"/>
  <c r="I103" s="1"/>
  <c r="H95"/>
  <c r="I95" s="1"/>
  <c r="H87"/>
  <c r="I87" s="1"/>
  <c r="H79"/>
  <c r="I79" s="1"/>
  <c r="H71"/>
  <c r="I71" s="1"/>
  <c r="H63"/>
  <c r="I63" s="1"/>
  <c r="H55"/>
  <c r="I55" s="1"/>
  <c r="H47"/>
  <c r="I47" s="1"/>
  <c r="H39"/>
  <c r="I39" s="1"/>
  <c r="H31"/>
  <c r="I31" s="1"/>
  <c r="H23"/>
  <c r="I23" s="1"/>
  <c r="H30" i="38"/>
  <c r="H62"/>
  <c r="H94"/>
  <c r="H126"/>
  <c r="H158"/>
  <c r="H190"/>
  <c r="H222"/>
  <c r="H254"/>
  <c r="H286"/>
  <c r="H318"/>
  <c r="H350"/>
  <c r="H382"/>
  <c r="H414"/>
  <c r="H446"/>
  <c r="P108" i="29"/>
  <c r="R108" s="1"/>
  <c r="P72"/>
  <c r="H399" i="38"/>
  <c r="H335"/>
  <c r="H271"/>
  <c r="H207"/>
  <c r="H143"/>
  <c r="H107"/>
  <c r="H75"/>
  <c r="H43"/>
  <c r="P46" i="29"/>
  <c r="R46" s="1"/>
  <c r="H429" i="38"/>
  <c r="H365"/>
  <c r="H301"/>
  <c r="H237"/>
  <c r="H173"/>
  <c r="H109"/>
  <c r="H45"/>
  <c r="H41" i="25"/>
  <c r="I41" s="1"/>
  <c r="H25"/>
  <c r="I25" s="1"/>
  <c r="H34" i="38"/>
  <c r="H98"/>
  <c r="H162"/>
  <c r="H226"/>
  <c r="H290"/>
  <c r="H354"/>
  <c r="H418"/>
  <c r="H359"/>
  <c r="H231"/>
  <c r="H119"/>
  <c r="H55"/>
  <c r="P194" i="29"/>
  <c r="R194" s="1"/>
  <c r="P102"/>
  <c r="H389" i="38"/>
  <c r="H261"/>
  <c r="H133"/>
  <c r="H106" i="27"/>
  <c r="J106" s="1"/>
  <c r="L106" s="1"/>
  <c r="N106" s="1"/>
  <c r="H163"/>
  <c r="J163" s="1"/>
  <c r="L163" s="1"/>
  <c r="N163" s="1"/>
  <c r="H190"/>
  <c r="J190" s="1"/>
  <c r="L190" s="1"/>
  <c r="N190" s="1"/>
  <c r="H260"/>
  <c r="J260" s="1"/>
  <c r="L260" s="1"/>
  <c r="N260" s="1"/>
  <c r="H292"/>
  <c r="J292" s="1"/>
  <c r="L292" s="1"/>
  <c r="N292" s="1"/>
  <c r="H299"/>
  <c r="J299" s="1"/>
  <c r="L299" s="1"/>
  <c r="N299" s="1"/>
  <c r="H306"/>
  <c r="J306" s="1"/>
  <c r="L306" s="1"/>
  <c r="N306" s="1"/>
  <c r="H356"/>
  <c r="J356" s="1"/>
  <c r="L356" s="1"/>
  <c r="N356" s="1"/>
  <c r="H366"/>
  <c r="J366" s="1"/>
  <c r="L366" s="1"/>
  <c r="N366" s="1"/>
  <c r="H384"/>
  <c r="J384" s="1"/>
  <c r="L384" s="1"/>
  <c r="N384" s="1"/>
  <c r="H391"/>
  <c r="J391" s="1"/>
  <c r="L391" s="1"/>
  <c r="N391" s="1"/>
  <c r="H408"/>
  <c r="J408" s="1"/>
  <c r="L408" s="1"/>
  <c r="N408" s="1"/>
  <c r="H415"/>
  <c r="J415" s="1"/>
  <c r="L415" s="1"/>
  <c r="N415" s="1"/>
  <c r="H420"/>
  <c r="J420" s="1"/>
  <c r="L420" s="1"/>
  <c r="N420" s="1"/>
  <c r="H422"/>
  <c r="J422" s="1"/>
  <c r="L422" s="1"/>
  <c r="N422" s="1"/>
  <c r="H427"/>
  <c r="J427" s="1"/>
  <c r="L427" s="1"/>
  <c r="N427" s="1"/>
  <c r="H432"/>
  <c r="J432" s="1"/>
  <c r="L432" s="1"/>
  <c r="N432" s="1"/>
  <c r="H434"/>
  <c r="J434" s="1"/>
  <c r="L434" s="1"/>
  <c r="N434" s="1"/>
  <c r="H439"/>
  <c r="J439" s="1"/>
  <c r="L439" s="1"/>
  <c r="N439" s="1"/>
  <c r="H446"/>
  <c r="J446" s="1"/>
  <c r="L446" s="1"/>
  <c r="N446" s="1"/>
  <c r="H472"/>
  <c r="J472" s="1"/>
  <c r="L472" s="1"/>
  <c r="N472" s="1"/>
  <c r="H479"/>
  <c r="J479" s="1"/>
  <c r="L479" s="1"/>
  <c r="N479" s="1"/>
  <c r="H488"/>
  <c r="J488" s="1"/>
  <c r="L488" s="1"/>
  <c r="N488" s="1"/>
  <c r="H497"/>
  <c r="J497" s="1"/>
  <c r="L497" s="1"/>
  <c r="N497" s="1"/>
  <c r="H502"/>
  <c r="J502" s="1"/>
  <c r="L502" s="1"/>
  <c r="N502" s="1"/>
  <c r="H509"/>
  <c r="J509" s="1"/>
  <c r="L509" s="1"/>
  <c r="N509" s="1"/>
  <c r="H516"/>
  <c r="J516" s="1"/>
  <c r="L516" s="1"/>
  <c r="N516" s="1"/>
  <c r="H518"/>
  <c r="J518" s="1"/>
  <c r="L518" s="1"/>
  <c r="N518" s="1"/>
  <c r="H520"/>
  <c r="J520" s="1"/>
  <c r="L520" s="1"/>
  <c r="N520" s="1"/>
  <c r="H525"/>
  <c r="J525" s="1"/>
  <c r="L525" s="1"/>
  <c r="N525" s="1"/>
  <c r="H527"/>
  <c r="J527" s="1"/>
  <c r="L527" s="1"/>
  <c r="N527" s="1"/>
  <c r="H536"/>
  <c r="J536" s="1"/>
  <c r="L536" s="1"/>
  <c r="N536" s="1"/>
  <c r="H540"/>
  <c r="J540" s="1"/>
  <c r="L540" s="1"/>
  <c r="N540" s="1"/>
  <c r="H558"/>
  <c r="J558" s="1"/>
  <c r="L558" s="1"/>
  <c r="N558" s="1"/>
  <c r="H563"/>
  <c r="J563" s="1"/>
  <c r="L563" s="1"/>
  <c r="N563" s="1"/>
  <c r="H565"/>
  <c r="J565" s="1"/>
  <c r="L565" s="1"/>
  <c r="N565" s="1"/>
  <c r="H571"/>
  <c r="J571" s="1"/>
  <c r="L571" s="1"/>
  <c r="N571" s="1"/>
  <c r="H573"/>
  <c r="J573" s="1"/>
  <c r="L573" s="1"/>
  <c r="N573" s="1"/>
  <c r="H575"/>
  <c r="J575" s="1"/>
  <c r="L575" s="1"/>
  <c r="N575" s="1"/>
  <c r="H581"/>
  <c r="J581" s="1"/>
  <c r="L581" s="1"/>
  <c r="N581" s="1"/>
  <c r="H587"/>
  <c r="J587" s="1"/>
  <c r="L587" s="1"/>
  <c r="N587" s="1"/>
  <c r="H600"/>
  <c r="J600" s="1"/>
  <c r="L600" s="1"/>
  <c r="N600" s="1"/>
  <c r="G135" i="32"/>
  <c r="H158" i="25"/>
  <c r="I158" s="1"/>
  <c r="H177" i="38"/>
  <c r="P181" i="37"/>
  <c r="R181" s="1"/>
  <c r="P147"/>
  <c r="R147" s="1"/>
  <c r="H32" i="38"/>
  <c r="H48"/>
  <c r="H64"/>
  <c r="H80"/>
  <c r="H96"/>
  <c r="H112"/>
  <c r="H128"/>
  <c r="H144"/>
  <c r="H160"/>
  <c r="H176"/>
  <c r="H192"/>
  <c r="H208"/>
  <c r="H224"/>
  <c r="H240"/>
  <c r="H256"/>
  <c r="H272"/>
  <c r="H288"/>
  <c r="H304"/>
  <c r="H320"/>
  <c r="H336"/>
  <c r="H352"/>
  <c r="H368"/>
  <c r="H384"/>
  <c r="H400"/>
  <c r="H416"/>
  <c r="H432"/>
  <c r="H448"/>
  <c r="P75" i="29"/>
  <c r="R75" s="1"/>
  <c r="P79"/>
  <c r="R79" s="1"/>
  <c r="P103"/>
  <c r="R103" s="1"/>
  <c r="P137"/>
  <c r="R137" s="1"/>
  <c r="P141"/>
  <c r="R141" s="1"/>
  <c r="P118" i="37"/>
  <c r="R118" s="1"/>
  <c r="P146"/>
  <c r="R146" s="1"/>
  <c r="P80"/>
  <c r="R80" s="1"/>
  <c r="H330" i="25"/>
  <c r="I330" s="1"/>
  <c r="H314"/>
  <c r="I314" s="1"/>
  <c r="H298"/>
  <c r="I298" s="1"/>
  <c r="H282"/>
  <c r="I282" s="1"/>
  <c r="H266"/>
  <c r="I266" s="1"/>
  <c r="H250"/>
  <c r="I250" s="1"/>
  <c r="H234"/>
  <c r="I234" s="1"/>
  <c r="H218"/>
  <c r="I218" s="1"/>
  <c r="H202"/>
  <c r="I202" s="1"/>
  <c r="H186"/>
  <c r="I186" s="1"/>
  <c r="H170"/>
  <c r="I170" s="1"/>
  <c r="H154"/>
  <c r="I154" s="1"/>
  <c r="H138"/>
  <c r="I138" s="1"/>
  <c r="H122"/>
  <c r="I122" s="1"/>
  <c r="H106"/>
  <c r="I106" s="1"/>
  <c r="H90"/>
  <c r="I90" s="1"/>
  <c r="H74"/>
  <c r="I74" s="1"/>
  <c r="H58"/>
  <c r="I58" s="1"/>
  <c r="H42"/>
  <c r="I42" s="1"/>
  <c r="H26"/>
  <c r="I26" s="1"/>
  <c r="P48" i="29"/>
  <c r="R48" s="1"/>
  <c r="H459" i="38"/>
  <c r="H427"/>
  <c r="H395"/>
  <c r="H363"/>
  <c r="H331"/>
  <c r="H299"/>
  <c r="H267"/>
  <c r="H235"/>
  <c r="H203"/>
  <c r="H171"/>
  <c r="H139"/>
  <c r="H54"/>
  <c r="H86"/>
  <c r="H118"/>
  <c r="H150"/>
  <c r="H182"/>
  <c r="H214"/>
  <c r="H246"/>
  <c r="H278"/>
  <c r="H310"/>
  <c r="H342"/>
  <c r="H374"/>
  <c r="H406"/>
  <c r="H438"/>
  <c r="P45" i="29"/>
  <c r="R45" s="1"/>
  <c r="P73"/>
  <c r="R73" s="1"/>
  <c r="P111"/>
  <c r="R111" s="1"/>
  <c r="P201"/>
  <c r="R201" s="1"/>
  <c r="P229"/>
  <c r="R229" s="1"/>
  <c r="H20" i="25"/>
  <c r="I20" s="1"/>
  <c r="H36"/>
  <c r="I36" s="1"/>
  <c r="H52"/>
  <c r="I52" s="1"/>
  <c r="H68"/>
  <c r="I68" s="1"/>
  <c r="H84"/>
  <c r="I84" s="1"/>
  <c r="H100"/>
  <c r="I100" s="1"/>
  <c r="H116"/>
  <c r="I116" s="1"/>
  <c r="H132"/>
  <c r="I132" s="1"/>
  <c r="H148"/>
  <c r="I148" s="1"/>
  <c r="H164"/>
  <c r="I164" s="1"/>
  <c r="H180"/>
  <c r="I180" s="1"/>
  <c r="H196"/>
  <c r="I196" s="1"/>
  <c r="H212"/>
  <c r="I212" s="1"/>
  <c r="H228"/>
  <c r="I228" s="1"/>
  <c r="H244"/>
  <c r="I244" s="1"/>
  <c r="H260"/>
  <c r="I260" s="1"/>
  <c r="H276"/>
  <c r="I276" s="1"/>
  <c r="H292"/>
  <c r="I292" s="1"/>
  <c r="H308"/>
  <c r="I308" s="1"/>
  <c r="H324"/>
  <c r="I324" s="1"/>
  <c r="P14" i="37"/>
  <c r="R14" s="1"/>
  <c r="P178"/>
  <c r="R178" s="1"/>
  <c r="H415" i="38"/>
  <c r="H351"/>
  <c r="H287"/>
  <c r="H223"/>
  <c r="H159"/>
  <c r="H115"/>
  <c r="H83"/>
  <c r="H51"/>
  <c r="P176" i="37"/>
  <c r="R176" s="1"/>
  <c r="H326" i="25"/>
  <c r="I326" s="1"/>
  <c r="H294"/>
  <c r="I294" s="1"/>
  <c r="H262"/>
  <c r="I262" s="1"/>
  <c r="H230"/>
  <c r="I230" s="1"/>
  <c r="H198"/>
  <c r="I198" s="1"/>
  <c r="H166"/>
  <c r="I166" s="1"/>
  <c r="H134"/>
  <c r="I134" s="1"/>
  <c r="H102"/>
  <c r="I102" s="1"/>
  <c r="H70"/>
  <c r="I70" s="1"/>
  <c r="H38"/>
  <c r="I38" s="1"/>
  <c r="P230" i="29"/>
  <c r="R230" s="1"/>
  <c r="H445" i="38"/>
  <c r="H381"/>
  <c r="H317"/>
  <c r="H253"/>
  <c r="H189"/>
  <c r="H125"/>
  <c r="H61"/>
  <c r="H82"/>
  <c r="H146"/>
  <c r="H210"/>
  <c r="H274"/>
  <c r="H338"/>
  <c r="H402"/>
  <c r="P43" i="29"/>
  <c r="R43" s="1"/>
  <c r="P109"/>
  <c r="R109" s="1"/>
  <c r="P223"/>
  <c r="R223" s="1"/>
  <c r="H24" i="25"/>
  <c r="I24" s="1"/>
  <c r="H56"/>
  <c r="I56" s="1"/>
  <c r="H88"/>
  <c r="I88" s="1"/>
  <c r="H120"/>
  <c r="I120" s="1"/>
  <c r="H152"/>
  <c r="I152" s="1"/>
  <c r="H184"/>
  <c r="I184" s="1"/>
  <c r="H216"/>
  <c r="I216" s="1"/>
  <c r="H248"/>
  <c r="I248" s="1"/>
  <c r="H280"/>
  <c r="I280" s="1"/>
  <c r="H312"/>
  <c r="I312" s="1"/>
  <c r="P18" i="37"/>
  <c r="R18" s="1"/>
  <c r="P20"/>
  <c r="R20" s="1"/>
  <c r="P104" i="29"/>
  <c r="R104" s="1"/>
  <c r="H391" i="38"/>
  <c r="H263"/>
  <c r="H135"/>
  <c r="H71"/>
  <c r="H421"/>
  <c r="H293"/>
  <c r="H165"/>
  <c r="H37"/>
  <c r="H74"/>
  <c r="H138"/>
  <c r="H202"/>
  <c r="H266"/>
  <c r="H330"/>
  <c r="H394"/>
  <c r="H458"/>
  <c r="P227" i="29"/>
  <c r="R227" s="1"/>
  <c r="H32" i="25"/>
  <c r="I32" s="1"/>
  <c r="H64"/>
  <c r="I64" s="1"/>
  <c r="H96"/>
  <c r="I96" s="1"/>
  <c r="H128"/>
  <c r="I128" s="1"/>
  <c r="H160"/>
  <c r="I160" s="1"/>
  <c r="H192"/>
  <c r="I192" s="1"/>
  <c r="H224"/>
  <c r="I224" s="1"/>
  <c r="H256"/>
  <c r="I256" s="1"/>
  <c r="H288"/>
  <c r="I288" s="1"/>
  <c r="H320"/>
  <c r="I320" s="1"/>
  <c r="P112" i="37"/>
  <c r="R112" s="1"/>
  <c r="H407" i="38"/>
  <c r="H279"/>
  <c r="H151"/>
  <c r="H79"/>
  <c r="P76" i="37"/>
  <c r="P110" i="29"/>
  <c r="R110" s="1"/>
  <c r="H373" i="38"/>
  <c r="H245"/>
  <c r="H117"/>
  <c r="H37" i="27"/>
  <c r="J37" s="1"/>
  <c r="L37" s="1"/>
  <c r="N37" s="1"/>
  <c r="H347"/>
  <c r="J347" s="1"/>
  <c r="L347" s="1"/>
  <c r="N347" s="1"/>
  <c r="H424"/>
  <c r="J424" s="1"/>
  <c r="L424" s="1"/>
  <c r="N424" s="1"/>
  <c r="H443"/>
  <c r="J443" s="1"/>
  <c r="L443" s="1"/>
  <c r="N443" s="1"/>
  <c r="H462"/>
  <c r="J462" s="1"/>
  <c r="L462" s="1"/>
  <c r="N462" s="1"/>
  <c r="H490"/>
  <c r="J490" s="1"/>
  <c r="L490" s="1"/>
  <c r="N490" s="1"/>
  <c r="H499"/>
  <c r="J499" s="1"/>
  <c r="L499" s="1"/>
  <c r="N499" s="1"/>
  <c r="H535"/>
  <c r="J535" s="1"/>
  <c r="L535" s="1"/>
  <c r="N535" s="1"/>
  <c r="H544"/>
  <c r="J544" s="1"/>
  <c r="L544" s="1"/>
  <c r="N544" s="1"/>
  <c r="H553"/>
  <c r="J553" s="1"/>
  <c r="L553" s="1"/>
  <c r="N553" s="1"/>
  <c r="H562"/>
  <c r="J562" s="1"/>
  <c r="L562" s="1"/>
  <c r="N562" s="1"/>
  <c r="H611"/>
  <c r="J611" s="1"/>
  <c r="L611" s="1"/>
  <c r="N611" s="1"/>
  <c r="H209" i="38"/>
  <c r="P111" i="37"/>
  <c r="R111" s="1"/>
  <c r="P51"/>
  <c r="R51" s="1"/>
  <c r="H28" i="38"/>
  <c r="H92"/>
  <c r="H156"/>
  <c r="H220"/>
  <c r="H284"/>
  <c r="H348"/>
  <c r="H412"/>
  <c r="P165" i="29"/>
  <c r="R165" s="1"/>
  <c r="P82" i="37"/>
  <c r="R82" s="1"/>
  <c r="P140"/>
  <c r="P140" i="29"/>
  <c r="R140" s="1"/>
  <c r="H403" i="38"/>
  <c r="H275"/>
  <c r="H211"/>
  <c r="H147"/>
  <c r="H325" i="25"/>
  <c r="I325" s="1"/>
  <c r="H309"/>
  <c r="I309" s="1"/>
  <c r="H293"/>
  <c r="I293" s="1"/>
  <c r="H277"/>
  <c r="I277" s="1"/>
  <c r="H261"/>
  <c r="I261" s="1"/>
  <c r="H245"/>
  <c r="I245" s="1"/>
  <c r="H229"/>
  <c r="I229" s="1"/>
  <c r="H213"/>
  <c r="I213" s="1"/>
  <c r="H197"/>
  <c r="I197" s="1"/>
  <c r="H181"/>
  <c r="I181" s="1"/>
  <c r="H165"/>
  <c r="I165" s="1"/>
  <c r="H149"/>
  <c r="I149" s="1"/>
  <c r="H133"/>
  <c r="I133" s="1"/>
  <c r="H117"/>
  <c r="I117" s="1"/>
  <c r="H101"/>
  <c r="I101" s="1"/>
  <c r="H85"/>
  <c r="I85" s="1"/>
  <c r="H69"/>
  <c r="I69" s="1"/>
  <c r="H53"/>
  <c r="I53" s="1"/>
  <c r="H323"/>
  <c r="I323" s="1"/>
  <c r="H307"/>
  <c r="I307" s="1"/>
  <c r="H291"/>
  <c r="I291" s="1"/>
  <c r="H275"/>
  <c r="I275" s="1"/>
  <c r="H259"/>
  <c r="I259" s="1"/>
  <c r="H243"/>
  <c r="I243" s="1"/>
  <c r="H227"/>
  <c r="I227" s="1"/>
  <c r="H211"/>
  <c r="I211" s="1"/>
  <c r="H195"/>
  <c r="I195" s="1"/>
  <c r="H179"/>
  <c r="I179" s="1"/>
  <c r="H163"/>
  <c r="I163" s="1"/>
  <c r="H147"/>
  <c r="I147" s="1"/>
  <c r="H131"/>
  <c r="I131" s="1"/>
  <c r="H115"/>
  <c r="I115" s="1"/>
  <c r="H99"/>
  <c r="I99" s="1"/>
  <c r="H83"/>
  <c r="I83" s="1"/>
  <c r="H67"/>
  <c r="I67" s="1"/>
  <c r="H51"/>
  <c r="I51" s="1"/>
  <c r="H35"/>
  <c r="I35" s="1"/>
  <c r="H19"/>
  <c r="I19" s="1"/>
  <c r="H78" i="38"/>
  <c r="H142"/>
  <c r="H206"/>
  <c r="H270"/>
  <c r="H334"/>
  <c r="H398"/>
  <c r="H462"/>
  <c r="P80" i="29"/>
  <c r="R80" s="1"/>
  <c r="H367" i="38"/>
  <c r="H239"/>
  <c r="H123"/>
  <c r="H59"/>
  <c r="H461"/>
  <c r="H333"/>
  <c r="H205"/>
  <c r="H77"/>
  <c r="H33" i="25"/>
  <c r="I33" s="1"/>
  <c r="H66" i="38"/>
  <c r="H194"/>
  <c r="H322"/>
  <c r="H450"/>
  <c r="H423"/>
  <c r="H167"/>
  <c r="P116" i="37"/>
  <c r="R116" s="1"/>
  <c r="H453" i="38"/>
  <c r="H197"/>
  <c r="H21" i="25"/>
  <c r="I21" s="1"/>
  <c r="H90" i="38"/>
  <c r="H170"/>
  <c r="H250"/>
  <c r="H346"/>
  <c r="H426"/>
  <c r="P105" i="29"/>
  <c r="R105" s="1"/>
  <c r="H48" i="25"/>
  <c r="I48" s="1"/>
  <c r="H176"/>
  <c r="I176" s="1"/>
  <c r="H304"/>
  <c r="I304" s="1"/>
  <c r="H375" i="38"/>
  <c r="H215"/>
  <c r="H95"/>
  <c r="H437"/>
  <c r="H277"/>
  <c r="H85"/>
  <c r="H193"/>
  <c r="H449"/>
  <c r="H121"/>
  <c r="H249"/>
  <c r="H377"/>
  <c r="H94" i="25"/>
  <c r="I94" s="1"/>
  <c r="H161" i="38"/>
  <c r="H425"/>
  <c r="H334" i="25"/>
  <c r="I334" s="1"/>
  <c r="P42" i="29"/>
  <c r="P106"/>
  <c r="R106" s="1"/>
  <c r="H265" i="38"/>
  <c r="H254" i="25"/>
  <c r="I254" s="1"/>
  <c r="H273" i="38"/>
  <c r="H201"/>
  <c r="H15" i="25"/>
  <c r="I15" s="1"/>
  <c r="H457" i="38"/>
  <c r="H340" i="27"/>
  <c r="J340" s="1"/>
  <c r="L340" s="1"/>
  <c r="N340" s="1"/>
  <c r="H379"/>
  <c r="J379" s="1"/>
  <c r="L379" s="1"/>
  <c r="N379" s="1"/>
  <c r="H431"/>
  <c r="J431" s="1"/>
  <c r="L431" s="1"/>
  <c r="N431" s="1"/>
  <c r="H450"/>
  <c r="J450" s="1"/>
  <c r="L450" s="1"/>
  <c r="N450" s="1"/>
  <c r="H506"/>
  <c r="J506" s="1"/>
  <c r="L506" s="1"/>
  <c r="N506" s="1"/>
  <c r="H515"/>
  <c r="J515" s="1"/>
  <c r="L515" s="1"/>
  <c r="N515" s="1"/>
  <c r="H533"/>
  <c r="J533" s="1"/>
  <c r="L533" s="1"/>
  <c r="N533" s="1"/>
  <c r="H551"/>
  <c r="J551" s="1"/>
  <c r="L551" s="1"/>
  <c r="N551" s="1"/>
  <c r="H560"/>
  <c r="J560" s="1"/>
  <c r="L560" s="1"/>
  <c r="N560" s="1"/>
  <c r="H609"/>
  <c r="J609" s="1"/>
  <c r="L609" s="1"/>
  <c r="N609" s="1"/>
  <c r="H305" i="38"/>
  <c r="P177" i="37"/>
  <c r="R177" s="1"/>
  <c r="P115"/>
  <c r="R115" s="1"/>
  <c r="P55"/>
  <c r="R55" s="1"/>
  <c r="P15"/>
  <c r="R15" s="1"/>
  <c r="H76" i="38"/>
  <c r="H140"/>
  <c r="H204"/>
  <c r="H268"/>
  <c r="H332"/>
  <c r="H396"/>
  <c r="H460"/>
  <c r="P54" i="37"/>
  <c r="R54" s="1"/>
  <c r="P180"/>
  <c r="R180" s="1"/>
  <c r="P196" i="29"/>
  <c r="R196" s="1"/>
  <c r="H435" i="38"/>
  <c r="H307"/>
  <c r="H219"/>
  <c r="H155"/>
  <c r="H70"/>
  <c r="H134"/>
  <c r="H198"/>
  <c r="H262"/>
  <c r="H326"/>
  <c r="H390"/>
  <c r="H454"/>
  <c r="P107" i="29"/>
  <c r="R107" s="1"/>
  <c r="P225"/>
  <c r="R225" s="1"/>
  <c r="H28" i="25"/>
  <c r="I28" s="1"/>
  <c r="H60"/>
  <c r="I60" s="1"/>
  <c r="H92"/>
  <c r="I92" s="1"/>
  <c r="H124"/>
  <c r="I124" s="1"/>
  <c r="H156"/>
  <c r="I156" s="1"/>
  <c r="H188"/>
  <c r="I188" s="1"/>
  <c r="H220"/>
  <c r="I220" s="1"/>
  <c r="H252"/>
  <c r="I252" s="1"/>
  <c r="H284"/>
  <c r="I284" s="1"/>
  <c r="H316"/>
  <c r="I316" s="1"/>
  <c r="P46" i="37"/>
  <c r="H383" i="38"/>
  <c r="H255"/>
  <c r="H131"/>
  <c r="H67"/>
  <c r="P16" i="37"/>
  <c r="R16" s="1"/>
  <c r="H278" i="25"/>
  <c r="I278" s="1"/>
  <c r="H214"/>
  <c r="I214" s="1"/>
  <c r="H150"/>
  <c r="I150" s="1"/>
  <c r="H86"/>
  <c r="I86" s="1"/>
  <c r="H22"/>
  <c r="I22" s="1"/>
  <c r="H349" i="38"/>
  <c r="H221"/>
  <c r="H93"/>
  <c r="H50"/>
  <c r="H178"/>
  <c r="H306"/>
  <c r="H434"/>
  <c r="P195" i="29"/>
  <c r="R195" s="1"/>
  <c r="H40" i="25"/>
  <c r="I40" s="1"/>
  <c r="H104"/>
  <c r="I104" s="1"/>
  <c r="H168"/>
  <c r="I168" s="1"/>
  <c r="H232"/>
  <c r="I232" s="1"/>
  <c r="H296"/>
  <c r="I296" s="1"/>
  <c r="P182" i="37"/>
  <c r="R182" s="1"/>
  <c r="H455" i="38"/>
  <c r="H199"/>
  <c r="H39"/>
  <c r="H229"/>
  <c r="C133" i="32"/>
  <c r="H45" i="25"/>
  <c r="I45" s="1"/>
  <c r="H58" i="38"/>
  <c r="H154"/>
  <c r="H234"/>
  <c r="H314"/>
  <c r="H410"/>
  <c r="H80" i="25"/>
  <c r="I80" s="1"/>
  <c r="H208"/>
  <c r="I208" s="1"/>
  <c r="H336"/>
  <c r="I336" s="1"/>
  <c r="H439" i="38"/>
  <c r="H247"/>
  <c r="H111"/>
  <c r="H31"/>
  <c r="H309"/>
  <c r="H149"/>
  <c r="H129"/>
  <c r="H385"/>
  <c r="H89"/>
  <c r="H217"/>
  <c r="H345"/>
  <c r="P162" i="29"/>
  <c r="P198"/>
  <c r="R198" s="1"/>
  <c r="H433" i="38"/>
  <c r="H73"/>
  <c r="H233"/>
  <c r="H393"/>
  <c r="H238" i="25"/>
  <c r="I238" s="1"/>
  <c r="H110"/>
  <c r="I110" s="1"/>
  <c r="P78" i="29"/>
  <c r="R78" s="1"/>
  <c r="H97" i="38"/>
  <c r="H361"/>
  <c r="H33"/>
  <c r="H142" i="25"/>
  <c r="I142" s="1"/>
  <c r="H81" i="38"/>
  <c r="P14" i="29"/>
  <c r="R14" s="1"/>
  <c r="P18"/>
  <c r="R18" s="1"/>
  <c r="P21"/>
  <c r="R21" s="1"/>
  <c r="P15"/>
  <c r="R15" s="1"/>
  <c r="P19"/>
  <c r="R19" s="1"/>
  <c r="H99" i="27"/>
  <c r="J99" s="1"/>
  <c r="L99" s="1"/>
  <c r="N99" s="1"/>
  <c r="H206"/>
  <c r="J206" s="1"/>
  <c r="L206" s="1"/>
  <c r="N206" s="1"/>
  <c r="H268"/>
  <c r="J268" s="1"/>
  <c r="L268" s="1"/>
  <c r="N268" s="1"/>
  <c r="H438"/>
  <c r="J438" s="1"/>
  <c r="L438" s="1"/>
  <c r="N438" s="1"/>
  <c r="H448"/>
  <c r="J448" s="1"/>
  <c r="L448" s="1"/>
  <c r="N448" s="1"/>
  <c r="H531"/>
  <c r="J531" s="1"/>
  <c r="L531" s="1"/>
  <c r="N531" s="1"/>
  <c r="P183" i="37"/>
  <c r="R183" s="1"/>
  <c r="P119"/>
  <c r="R119" s="1"/>
  <c r="P79"/>
  <c r="R79" s="1"/>
  <c r="P19"/>
  <c r="R19" s="1"/>
  <c r="H60" i="38"/>
  <c r="H124"/>
  <c r="H188"/>
  <c r="H252"/>
  <c r="H316"/>
  <c r="H380"/>
  <c r="H444"/>
  <c r="P193" i="29"/>
  <c r="R193" s="1"/>
  <c r="P224"/>
  <c r="R224" s="1"/>
  <c r="H339" i="38"/>
  <c r="H243"/>
  <c r="H179"/>
  <c r="H333" i="25"/>
  <c r="I333" s="1"/>
  <c r="H317"/>
  <c r="I317" s="1"/>
  <c r="H301"/>
  <c r="I301" s="1"/>
  <c r="H285"/>
  <c r="I285" s="1"/>
  <c r="H269"/>
  <c r="I269" s="1"/>
  <c r="H253"/>
  <c r="I253" s="1"/>
  <c r="H237"/>
  <c r="I237" s="1"/>
  <c r="H221"/>
  <c r="I221" s="1"/>
  <c r="H205"/>
  <c r="I205" s="1"/>
  <c r="H189"/>
  <c r="I189" s="1"/>
  <c r="H173"/>
  <c r="I173" s="1"/>
  <c r="H157"/>
  <c r="I157" s="1"/>
  <c r="H141"/>
  <c r="I141" s="1"/>
  <c r="H125"/>
  <c r="I125" s="1"/>
  <c r="H109"/>
  <c r="I109" s="1"/>
  <c r="H93"/>
  <c r="I93" s="1"/>
  <c r="H77"/>
  <c r="I77" s="1"/>
  <c r="H61"/>
  <c r="I61" s="1"/>
  <c r="H331"/>
  <c r="I331" s="1"/>
  <c r="H315"/>
  <c r="I315" s="1"/>
  <c r="H299"/>
  <c r="I299" s="1"/>
  <c r="H283"/>
  <c r="I283" s="1"/>
  <c r="H267"/>
  <c r="I267" s="1"/>
  <c r="H251"/>
  <c r="I251" s="1"/>
  <c r="H235"/>
  <c r="I235" s="1"/>
  <c r="H219"/>
  <c r="I219" s="1"/>
  <c r="H203"/>
  <c r="I203" s="1"/>
  <c r="H187"/>
  <c r="I187" s="1"/>
  <c r="H171"/>
  <c r="I171" s="1"/>
  <c r="H155"/>
  <c r="I155" s="1"/>
  <c r="H139"/>
  <c r="I139" s="1"/>
  <c r="H123"/>
  <c r="I123" s="1"/>
  <c r="H107"/>
  <c r="I107" s="1"/>
  <c r="H91"/>
  <c r="I91" s="1"/>
  <c r="H75"/>
  <c r="I75" s="1"/>
  <c r="H59"/>
  <c r="I59" s="1"/>
  <c r="H43"/>
  <c r="I43" s="1"/>
  <c r="H27"/>
  <c r="I27" s="1"/>
  <c r="H46" i="38"/>
  <c r="H110"/>
  <c r="H174"/>
  <c r="H238"/>
  <c r="H302"/>
  <c r="H366"/>
  <c r="H430"/>
  <c r="P168" i="29"/>
  <c r="R168" s="1"/>
  <c r="H431" i="38"/>
  <c r="H303"/>
  <c r="H175"/>
  <c r="H91"/>
  <c r="H27"/>
  <c r="P74" i="29"/>
  <c r="R74" s="1"/>
  <c r="H397" i="38"/>
  <c r="H269"/>
  <c r="H141"/>
  <c r="H49" i="25"/>
  <c r="I49" s="1"/>
  <c r="H17"/>
  <c r="I17" s="1"/>
  <c r="H130" i="38"/>
  <c r="H258"/>
  <c r="H386"/>
  <c r="H295"/>
  <c r="H87"/>
  <c r="P138" i="29"/>
  <c r="R138" s="1"/>
  <c r="H325" i="38"/>
  <c r="H69"/>
  <c r="H29" i="25"/>
  <c r="I29" s="1"/>
  <c r="H42" i="38"/>
  <c r="H122"/>
  <c r="H218"/>
  <c r="H298"/>
  <c r="H378"/>
  <c r="P47" i="29"/>
  <c r="R47" s="1"/>
  <c r="P199"/>
  <c r="R199" s="1"/>
  <c r="H112" i="25"/>
  <c r="I112" s="1"/>
  <c r="H240"/>
  <c r="I240" s="1"/>
  <c r="H311" i="38"/>
  <c r="H127"/>
  <c r="H47"/>
  <c r="H341"/>
  <c r="H181"/>
  <c r="H65"/>
  <c r="H321"/>
  <c r="H57"/>
  <c r="H185"/>
  <c r="H313"/>
  <c r="H441"/>
  <c r="H49"/>
  <c r="H190" i="25"/>
  <c r="I190" s="1"/>
  <c r="H337" i="38"/>
  <c r="H329"/>
  <c r="P84" i="37"/>
  <c r="R84" s="1"/>
  <c r="H353" i="38"/>
  <c r="H126" i="25"/>
  <c r="I126" s="1"/>
  <c r="H113" i="38"/>
  <c r="H270" i="25"/>
  <c r="I270" s="1"/>
  <c r="H417" i="38"/>
  <c r="H105"/>
  <c r="H401"/>
  <c r="P36" i="28"/>
  <c r="R36" s="1"/>
  <c r="AA33"/>
  <c r="AQ32"/>
  <c r="N42"/>
  <c r="P48" i="37"/>
  <c r="R48" s="1"/>
  <c r="P144"/>
  <c r="R144" s="1"/>
  <c r="H206" i="25"/>
  <c r="I206" s="1"/>
  <c r="O9" i="44"/>
  <c r="O34" s="1"/>
  <c r="H281" i="38"/>
  <c r="P166" i="29"/>
  <c r="R166" s="1"/>
  <c r="P76"/>
  <c r="R76" s="1"/>
  <c r="H16" i="25"/>
  <c r="I16" s="1"/>
  <c r="H282" i="38"/>
  <c r="H37" i="25"/>
  <c r="I37" s="1"/>
  <c r="H103" i="38"/>
  <c r="H264" i="25"/>
  <c r="I264" s="1"/>
  <c r="P231" i="29"/>
  <c r="R231" s="1"/>
  <c r="H114" i="38"/>
  <c r="H285"/>
  <c r="H118" i="25"/>
  <c r="I118" s="1"/>
  <c r="H35" i="38"/>
  <c r="H447"/>
  <c r="H268" i="25"/>
  <c r="I268" s="1"/>
  <c r="H140"/>
  <c r="I140" s="1"/>
  <c r="H14"/>
  <c r="I14" s="1"/>
  <c r="H358" i="38"/>
  <c r="H102"/>
  <c r="H187"/>
  <c r="H236"/>
  <c r="P47" i="37"/>
  <c r="R47" s="1"/>
  <c r="H289" i="38"/>
  <c r="H511" i="27"/>
  <c r="J511" s="1"/>
  <c r="L511" s="1"/>
  <c r="N511" s="1"/>
  <c r="H436"/>
  <c r="J436" s="1"/>
  <c r="L436" s="1"/>
  <c r="N436" s="1"/>
  <c r="H398"/>
  <c r="J398" s="1"/>
  <c r="L398" s="1"/>
  <c r="N398" s="1"/>
  <c r="CI16" i="20"/>
  <c r="CJ16" s="1"/>
  <c r="AK52" i="28"/>
  <c r="AI52"/>
  <c r="P13"/>
  <c r="R13" s="1"/>
  <c r="B44" i="45"/>
  <c r="AA41" i="28"/>
  <c r="AC27"/>
  <c r="AA27"/>
  <c r="J19" i="32"/>
  <c r="P56" i="28"/>
  <c r="R56" s="1"/>
  <c r="AK25"/>
  <c r="B59" i="45"/>
  <c r="P13" i="29"/>
  <c r="R13" s="1"/>
  <c r="P16"/>
  <c r="R16" s="1"/>
  <c r="P30" i="28"/>
  <c r="R30" s="1"/>
  <c r="H30" i="25"/>
  <c r="I30" s="1"/>
  <c r="H297" i="38"/>
  <c r="H302" i="25"/>
  <c r="I302" s="1"/>
  <c r="O36" i="44"/>
  <c r="H409" i="38"/>
  <c r="H257"/>
  <c r="H405"/>
  <c r="H343"/>
  <c r="H362"/>
  <c r="H26"/>
  <c r="H328" i="25"/>
  <c r="I328" s="1"/>
  <c r="H72"/>
  <c r="I72" s="1"/>
  <c r="H242" i="38"/>
  <c r="H157"/>
  <c r="H54" i="25"/>
  <c r="I54" s="1"/>
  <c r="H310"/>
  <c r="I310" s="1"/>
  <c r="H319" i="38"/>
  <c r="H300" i="25"/>
  <c r="I300" s="1"/>
  <c r="H172"/>
  <c r="I172" s="1"/>
  <c r="H44"/>
  <c r="I44" s="1"/>
  <c r="H422" i="38"/>
  <c r="H166"/>
  <c r="P132" i="29"/>
  <c r="P169"/>
  <c r="R169" s="1"/>
  <c r="H300" i="38"/>
  <c r="H44"/>
  <c r="H589" i="27"/>
  <c r="J589" s="1"/>
  <c r="L589" s="1"/>
  <c r="N589" s="1"/>
  <c r="H483"/>
  <c r="J483" s="1"/>
  <c r="L483" s="1"/>
  <c r="N483" s="1"/>
  <c r="H354"/>
  <c r="J354" s="1"/>
  <c r="L354" s="1"/>
  <c r="N354" s="1"/>
  <c r="AA43" i="28"/>
  <c r="B46" i="45"/>
  <c r="R43" i="28"/>
  <c r="AZ54" i="20"/>
  <c r="CI54"/>
  <c r="CJ54" s="1"/>
  <c r="AC54" i="28" s="1"/>
  <c r="Q26"/>
  <c r="P26" s="1"/>
  <c r="R26" s="1"/>
  <c r="T51"/>
  <c r="AA51" s="1"/>
  <c r="N51"/>
  <c r="Q51" s="1"/>
  <c r="P41"/>
  <c r="R41" s="1"/>
  <c r="P53"/>
  <c r="R53" s="1"/>
  <c r="CI46" i="20"/>
  <c r="CJ46" s="1"/>
  <c r="AC46" i="28" s="1"/>
  <c r="AZ46" i="20"/>
  <c r="CI34"/>
  <c r="CJ34" s="1"/>
  <c r="AC34" i="28" s="1"/>
  <c r="AZ34" i="20"/>
  <c r="K13" i="40"/>
  <c r="K15"/>
  <c r="K17"/>
  <c r="K19"/>
  <c r="K21"/>
  <c r="K23"/>
  <c r="K25"/>
  <c r="K27"/>
  <c r="K29"/>
  <c r="K31"/>
  <c r="K33"/>
  <c r="K35"/>
  <c r="K37"/>
  <c r="K39"/>
  <c r="K41"/>
  <c r="K43"/>
  <c r="K45"/>
  <c r="K47"/>
  <c r="K49"/>
  <c r="K51"/>
  <c r="K53"/>
  <c r="K55"/>
  <c r="K57"/>
  <c r="K59"/>
  <c r="K61"/>
  <c r="K63"/>
  <c r="K65"/>
  <c r="K67"/>
  <c r="K69"/>
  <c r="K71"/>
  <c r="K73"/>
  <c r="K75"/>
  <c r="K77"/>
  <c r="K79"/>
  <c r="K81"/>
  <c r="K83"/>
  <c r="K85"/>
  <c r="K87"/>
  <c r="K89"/>
  <c r="Q55" i="28"/>
  <c r="P55" s="1"/>
  <c r="R55" s="1"/>
  <c r="P39"/>
  <c r="R39" s="1"/>
  <c r="T45"/>
  <c r="AA45" s="1"/>
  <c r="N45"/>
  <c r="T37"/>
  <c r="AA37" s="1"/>
  <c r="N37"/>
  <c r="P31"/>
  <c r="R31" s="1"/>
  <c r="G131" i="45"/>
  <c r="AI55" i="28" l="1"/>
  <c r="AK55"/>
  <c r="CG30" i="20"/>
  <c r="CH30"/>
  <c r="H17" i="32"/>
  <c r="AL14" i="20"/>
  <c r="BQ14"/>
  <c r="BU14" s="1"/>
  <c r="H17" i="45"/>
  <c r="BS14" i="20"/>
  <c r="BW14" s="1"/>
  <c r="P53" i="43"/>
  <c r="J55"/>
  <c r="AC44" i="28"/>
  <c r="B47" i="45"/>
  <c r="AA44" i="28"/>
  <c r="AW18" i="20"/>
  <c r="CB18"/>
  <c r="CE18" s="1"/>
  <c r="CF18" s="1"/>
  <c r="BZ18"/>
  <c r="L18" i="28" s="1"/>
  <c r="CD16" i="20"/>
  <c r="BA16"/>
  <c r="AX16"/>
  <c r="CC16"/>
  <c r="F16" i="28" s="1"/>
  <c r="B19" i="45" s="1"/>
  <c r="BE14" i="20"/>
  <c r="AZ14"/>
  <c r="CI14"/>
  <c r="CJ14" s="1"/>
  <c r="AC16" i="28"/>
  <c r="AC59" i="20"/>
  <c r="H15" i="22" s="1"/>
  <c r="F18" i="45"/>
  <c r="R15" i="20"/>
  <c r="D15" i="28"/>
  <c r="Q15" s="1"/>
  <c r="P15" s="1"/>
  <c r="R15" s="1"/>
  <c r="CR15" i="20"/>
  <c r="F18" i="32"/>
  <c r="CP15" i="20"/>
  <c r="BS15"/>
  <c r="BW15" s="1"/>
  <c r="AA38" i="28"/>
  <c r="B41" i="45"/>
  <c r="AC38" i="28"/>
  <c r="B39" i="45"/>
  <c r="AC36" i="28"/>
  <c r="AI50"/>
  <c r="AK50"/>
  <c r="AS51"/>
  <c r="AQ51"/>
  <c r="R38"/>
  <c r="X16" i="20"/>
  <c r="T16"/>
  <c r="P29" i="28"/>
  <c r="R29" s="1"/>
  <c r="G95" i="32"/>
  <c r="G96" s="1"/>
  <c r="G97" s="1"/>
  <c r="F47" i="23"/>
  <c r="G95" i="45"/>
  <c r="G96" s="1"/>
  <c r="G97" s="1"/>
  <c r="F45" i="23"/>
  <c r="B48" i="45"/>
  <c r="AC45" i="28"/>
  <c r="J17" i="32"/>
  <c r="AX14" i="20"/>
  <c r="BA14"/>
  <c r="CC14"/>
  <c r="CD14"/>
  <c r="AC30" i="28"/>
  <c r="B33" i="45"/>
  <c r="J16" i="32"/>
  <c r="L16" s="1"/>
  <c r="L16" i="45" s="1"/>
  <c r="CI13" i="20"/>
  <c r="CJ13" s="1"/>
  <c r="AC13" i="28" s="1"/>
  <c r="AI13" s="1"/>
  <c r="AZ13" i="20"/>
  <c r="J16" i="45"/>
  <c r="AA15" i="28"/>
  <c r="B18" i="45"/>
  <c r="B51"/>
  <c r="AA48" i="28"/>
  <c r="AC48"/>
  <c r="AI28"/>
  <c r="AK28"/>
  <c r="AA36"/>
  <c r="P34"/>
  <c r="R34" s="1"/>
  <c r="CH38" i="20"/>
  <c r="CG38"/>
  <c r="L106" i="32"/>
  <c r="C106" s="1"/>
  <c r="L106" i="45"/>
  <c r="C106" s="1"/>
  <c r="N35" i="22"/>
  <c r="M18" i="20"/>
  <c r="O17"/>
  <c r="T17" s="1"/>
  <c r="AW17"/>
  <c r="BZ17"/>
  <c r="L17" i="28" s="1"/>
  <c r="CB17" i="20"/>
  <c r="CE17" s="1"/>
  <c r="CF17" s="1"/>
  <c r="CB19"/>
  <c r="BZ19"/>
  <c r="L19" i="28" s="1"/>
  <c r="CE19" i="20"/>
  <c r="AW19"/>
  <c r="AC49" i="28"/>
  <c r="B52" i="45"/>
  <c r="AY15" i="20"/>
  <c r="CH15"/>
  <c r="CG15"/>
  <c r="AS21"/>
  <c r="AT20"/>
  <c r="CA20"/>
  <c r="B56" i="45"/>
  <c r="AA53" i="28"/>
  <c r="AC53"/>
  <c r="AK56"/>
  <c r="AI56"/>
  <c r="AK42"/>
  <c r="AI42"/>
  <c r="AQ39"/>
  <c r="AS39"/>
  <c r="AK46"/>
  <c r="AI46"/>
  <c r="AK54"/>
  <c r="AI54"/>
  <c r="AQ52"/>
  <c r="AS52"/>
  <c r="R110" i="37"/>
  <c r="R121" s="1"/>
  <c r="P121"/>
  <c r="N13" i="27"/>
  <c r="L10"/>
  <c r="S24" i="38"/>
  <c r="O24"/>
  <c r="O15"/>
  <c r="S15"/>
  <c r="O19"/>
  <c r="S19"/>
  <c r="AK13" i="28"/>
  <c r="AI33"/>
  <c r="AK33"/>
  <c r="R233" i="29"/>
  <c r="Q45" i="28"/>
  <c r="P45" s="1"/>
  <c r="R45" s="1"/>
  <c r="AI16"/>
  <c r="AK16"/>
  <c r="R76" i="37"/>
  <c r="R87" s="1"/>
  <c r="P87"/>
  <c r="J145" i="32"/>
  <c r="B185"/>
  <c r="R192" i="29"/>
  <c r="R203" s="1"/>
  <c r="P203"/>
  <c r="P51" i="28"/>
  <c r="R51" s="1"/>
  <c r="P143" i="29"/>
  <c r="R132"/>
  <c r="R143" s="1"/>
  <c r="AS25" i="28"/>
  <c r="AQ25"/>
  <c r="AI27"/>
  <c r="AK27"/>
  <c r="Q42"/>
  <c r="P42" s="1"/>
  <c r="R42" s="1"/>
  <c r="R140" i="37"/>
  <c r="R151" s="1"/>
  <c r="P151"/>
  <c r="O16" i="38"/>
  <c r="S16"/>
  <c r="S17"/>
  <c r="O17"/>
  <c r="S23"/>
  <c r="O23"/>
  <c r="AS40" i="28"/>
  <c r="AQ40"/>
  <c r="AQ41"/>
  <c r="AS41"/>
  <c r="P233" i="29"/>
  <c r="G135" i="45"/>
  <c r="C131"/>
  <c r="R46" i="37"/>
  <c r="R57" s="1"/>
  <c r="P57"/>
  <c r="P53" i="29"/>
  <c r="R42"/>
  <c r="R53" s="1"/>
  <c r="Q37" i="28"/>
  <c r="P37" s="1"/>
  <c r="R37" s="1"/>
  <c r="AI34"/>
  <c r="AK34"/>
  <c r="P173" i="29"/>
  <c r="R162"/>
  <c r="R173" s="1"/>
  <c r="R102"/>
  <c r="R113" s="1"/>
  <c r="P113"/>
  <c r="R174" i="37"/>
  <c r="R185" s="1"/>
  <c r="P185"/>
  <c r="O22" i="38"/>
  <c r="S22"/>
  <c r="O13"/>
  <c r="M8"/>
  <c r="S13"/>
  <c r="S20"/>
  <c r="O20"/>
  <c r="M13" i="25"/>
  <c r="O13" s="1"/>
  <c r="O8" s="1"/>
  <c r="P49" i="22" s="1"/>
  <c r="I13" i="25"/>
  <c r="P23" i="37"/>
  <c r="R12"/>
  <c r="R23" s="1"/>
  <c r="BI32" i="28"/>
  <c r="BG32"/>
  <c r="BG43"/>
  <c r="BI43"/>
  <c r="AK37"/>
  <c r="AI37"/>
  <c r="Q25"/>
  <c r="P25" s="1"/>
  <c r="R25" s="1"/>
  <c r="AQ35"/>
  <c r="AS35"/>
  <c r="R72" i="29"/>
  <c r="R83" s="1"/>
  <c r="P83"/>
  <c r="O18" i="38"/>
  <c r="S18"/>
  <c r="O21"/>
  <c r="S21"/>
  <c r="O14"/>
  <c r="S14"/>
  <c r="AQ31" i="28"/>
  <c r="AS31"/>
  <c r="R12" i="29"/>
  <c r="R23" s="1"/>
  <c r="P23"/>
  <c r="BG13" i="20"/>
  <c r="BI13" s="1"/>
  <c r="BK13" s="1"/>
  <c r="BF13"/>
  <c r="AS29" i="28"/>
  <c r="AQ29"/>
  <c r="AS47"/>
  <c r="AQ47"/>
  <c r="K7" i="40"/>
  <c r="CH17" i="20" l="1"/>
  <c r="CG17"/>
  <c r="AY17"/>
  <c r="CP17"/>
  <c r="CR17"/>
  <c r="R17"/>
  <c r="D17" i="28"/>
  <c r="F20" i="45"/>
  <c r="F20" i="32"/>
  <c r="BS17" i="20"/>
  <c r="BW17" s="1"/>
  <c r="BE17"/>
  <c r="CH18"/>
  <c r="AY18"/>
  <c r="CG18"/>
  <c r="BA39" i="28"/>
  <c r="AY39"/>
  <c r="AK49"/>
  <c r="AI49"/>
  <c r="AS28"/>
  <c r="AQ28"/>
  <c r="AI30"/>
  <c r="AK30"/>
  <c r="AK36"/>
  <c r="AI36"/>
  <c r="X17" i="20"/>
  <c r="AA16" i="28"/>
  <c r="AQ42"/>
  <c r="AS42"/>
  <c r="AT21" i="20"/>
  <c r="CA21"/>
  <c r="AS22"/>
  <c r="T19" i="28"/>
  <c r="N19"/>
  <c r="AX17" i="20"/>
  <c r="BA17"/>
  <c r="BD17" s="1"/>
  <c r="BL17" s="1"/>
  <c r="I20" i="32" s="1"/>
  <c r="CC17" i="20"/>
  <c r="F17" i="28" s="1"/>
  <c r="B20" i="45" s="1"/>
  <c r="CD17" i="20"/>
  <c r="M19"/>
  <c r="O18"/>
  <c r="X18" s="1"/>
  <c r="N18" i="28"/>
  <c r="T18"/>
  <c r="B57" i="43"/>
  <c r="P55"/>
  <c r="AQ55" i="28"/>
  <c r="AS55"/>
  <c r="BD14" i="20"/>
  <c r="AI53" i="28"/>
  <c r="AK53"/>
  <c r="BE15" i="20"/>
  <c r="AZ15"/>
  <c r="CI15"/>
  <c r="CJ15" s="1"/>
  <c r="J18" i="45"/>
  <c r="J18" i="32"/>
  <c r="L18" s="1"/>
  <c r="L18" i="45" s="1"/>
  <c r="N17" i="28"/>
  <c r="T17"/>
  <c r="AA17" s="1"/>
  <c r="AK48"/>
  <c r="AI48"/>
  <c r="F14"/>
  <c r="AC14" s="1"/>
  <c r="AK45"/>
  <c r="AI45"/>
  <c r="BG53" i="20"/>
  <c r="BI53" s="1"/>
  <c r="BK53" s="1"/>
  <c r="BG25"/>
  <c r="BI25" s="1"/>
  <c r="BK25" s="1"/>
  <c r="BG43"/>
  <c r="BI43" s="1"/>
  <c r="BK43" s="1"/>
  <c r="F21" i="22"/>
  <c r="BG33" i="20"/>
  <c r="BI33" s="1"/>
  <c r="BK33" s="1"/>
  <c r="BG45"/>
  <c r="BI45" s="1"/>
  <c r="BK45" s="1"/>
  <c r="BG44"/>
  <c r="BI44" s="1"/>
  <c r="BK44" s="1"/>
  <c r="BG51"/>
  <c r="BI51" s="1"/>
  <c r="BK51" s="1"/>
  <c r="BG54"/>
  <c r="BI54" s="1"/>
  <c r="BK54" s="1"/>
  <c r="BG48"/>
  <c r="BI48" s="1"/>
  <c r="BK48" s="1"/>
  <c r="BG35"/>
  <c r="BI35" s="1"/>
  <c r="BK35" s="1"/>
  <c r="BG26"/>
  <c r="BI26" s="1"/>
  <c r="BK26" s="1"/>
  <c r="BG46"/>
  <c r="BI46" s="1"/>
  <c r="BK46" s="1"/>
  <c r="BG41"/>
  <c r="BI41" s="1"/>
  <c r="BK41" s="1"/>
  <c r="BG40"/>
  <c r="BI40" s="1"/>
  <c r="BK40" s="1"/>
  <c r="BG52"/>
  <c r="BI52" s="1"/>
  <c r="BK52" s="1"/>
  <c r="BG42"/>
  <c r="BI42" s="1"/>
  <c r="BK42" s="1"/>
  <c r="BG30"/>
  <c r="BI30" s="1"/>
  <c r="BK30" s="1"/>
  <c r="BG55"/>
  <c r="BI55" s="1"/>
  <c r="BK55" s="1"/>
  <c r="BG32"/>
  <c r="BI32" s="1"/>
  <c r="BK32" s="1"/>
  <c r="BG29"/>
  <c r="BI29" s="1"/>
  <c r="BK29" s="1"/>
  <c r="BG56"/>
  <c r="BI56" s="1"/>
  <c r="BK56" s="1"/>
  <c r="BG34"/>
  <c r="BI34" s="1"/>
  <c r="BK34" s="1"/>
  <c r="BG39"/>
  <c r="BI39" s="1"/>
  <c r="BK39" s="1"/>
  <c r="BG28"/>
  <c r="BI28" s="1"/>
  <c r="BK28" s="1"/>
  <c r="BG37"/>
  <c r="BI37" s="1"/>
  <c r="BK37" s="1"/>
  <c r="BG49"/>
  <c r="BI49" s="1"/>
  <c r="BK49" s="1"/>
  <c r="BG47"/>
  <c r="BI47" s="1"/>
  <c r="BK47" s="1"/>
  <c r="BG36"/>
  <c r="BI36" s="1"/>
  <c r="BK36" s="1"/>
  <c r="BG38"/>
  <c r="BI38" s="1"/>
  <c r="BK38" s="1"/>
  <c r="BG27"/>
  <c r="BI27" s="1"/>
  <c r="BK27" s="1"/>
  <c r="BG31"/>
  <c r="BI31" s="1"/>
  <c r="BK31" s="1"/>
  <c r="BG50"/>
  <c r="BI50" s="1"/>
  <c r="BK50" s="1"/>
  <c r="CR16"/>
  <c r="R16"/>
  <c r="F19" i="32"/>
  <c r="BS16" i="20"/>
  <c r="BW16" s="1"/>
  <c r="CP16"/>
  <c r="D16" i="28"/>
  <c r="Q16" s="1"/>
  <c r="P16" s="1"/>
  <c r="R16" s="1"/>
  <c r="AI16" i="20"/>
  <c r="AK16" s="1"/>
  <c r="F19" i="45"/>
  <c r="AQ50" i="28"/>
  <c r="AS50"/>
  <c r="AK38"/>
  <c r="AI38"/>
  <c r="BG14" i="20"/>
  <c r="BI14" s="1"/>
  <c r="BK14" s="1"/>
  <c r="BF14"/>
  <c r="CD18"/>
  <c r="CC18"/>
  <c r="F18" i="28" s="1"/>
  <c r="BA18" i="20"/>
  <c r="AX18"/>
  <c r="J21" i="32"/>
  <c r="CF19" i="20"/>
  <c r="AQ56" i="28"/>
  <c r="AS56"/>
  <c r="CB20" i="20"/>
  <c r="AW20" s="1"/>
  <c r="BZ20"/>
  <c r="L20" i="28" s="1"/>
  <c r="CD19" i="20"/>
  <c r="CC19"/>
  <c r="F19" i="28" s="1"/>
  <c r="AX19" i="20"/>
  <c r="BA19"/>
  <c r="BD19" s="1"/>
  <c r="BL19" s="1"/>
  <c r="I22" i="32" s="1"/>
  <c r="BA51" i="28"/>
  <c r="AY51"/>
  <c r="AK44"/>
  <c r="AI44"/>
  <c r="P55" i="22"/>
  <c r="N55" s="1"/>
  <c r="L116" i="32"/>
  <c r="C116" s="1"/>
  <c r="L116" i="45"/>
  <c r="C116" s="1"/>
  <c r="L114" i="32"/>
  <c r="C114" s="1"/>
  <c r="N49" i="22"/>
  <c r="L114" i="45"/>
  <c r="C114" s="1"/>
  <c r="AY47" i="28"/>
  <c r="BA47"/>
  <c r="BA35"/>
  <c r="AY35"/>
  <c r="J145" i="45"/>
  <c r="B185"/>
  <c r="AS27" i="28"/>
  <c r="AQ27"/>
  <c r="S8" i="38"/>
  <c r="BA29" i="28"/>
  <c r="AY29"/>
  <c r="AY31"/>
  <c r="BA31"/>
  <c r="BQ43"/>
  <c r="BW43" s="1"/>
  <c r="BO43"/>
  <c r="AY41"/>
  <c r="BA41"/>
  <c r="AY40"/>
  <c r="BA40"/>
  <c r="AY25"/>
  <c r="BA25"/>
  <c r="N10" i="27"/>
  <c r="P45" i="22"/>
  <c r="AY52" i="28"/>
  <c r="BA52"/>
  <c r="AQ54"/>
  <c r="AS54"/>
  <c r="AQ46"/>
  <c r="AS46"/>
  <c r="O8" i="38"/>
  <c r="AQ37" i="28"/>
  <c r="AS37"/>
  <c r="BQ32"/>
  <c r="BW32" s="1"/>
  <c r="BO32"/>
  <c r="AQ34"/>
  <c r="AS34"/>
  <c r="AQ16"/>
  <c r="AS16"/>
  <c r="AQ33"/>
  <c r="AS33"/>
  <c r="AS13"/>
  <c r="AQ13"/>
  <c r="CC20" i="20" l="1"/>
  <c r="F20" i="28" s="1"/>
  <c r="B23" i="45" s="1"/>
  <c r="BA20" i="20"/>
  <c r="AX20"/>
  <c r="CD20"/>
  <c r="AK14" i="28"/>
  <c r="AI14"/>
  <c r="AY19" i="20"/>
  <c r="CG19"/>
  <c r="CH19"/>
  <c r="N20" i="28"/>
  <c r="T20"/>
  <c r="AA20" s="1"/>
  <c r="BA50"/>
  <c r="AY50"/>
  <c r="BQ16" i="20"/>
  <c r="BU16" s="1"/>
  <c r="H19" i="45"/>
  <c r="AL16" i="20"/>
  <c r="BC16"/>
  <c r="H19" i="32"/>
  <c r="BG15" i="20"/>
  <c r="BI15" s="1"/>
  <c r="BK15" s="1"/>
  <c r="BF15"/>
  <c r="BL14"/>
  <c r="CB21"/>
  <c r="CE21" s="1"/>
  <c r="BZ21"/>
  <c r="L21" i="28" s="1"/>
  <c r="AS49"/>
  <c r="AQ49"/>
  <c r="AZ18" i="20"/>
  <c r="CI18"/>
  <c r="CJ18" s="1"/>
  <c r="T18"/>
  <c r="J20" i="45"/>
  <c r="BI51" i="28"/>
  <c r="BG51"/>
  <c r="B22" i="45"/>
  <c r="AS38" i="28"/>
  <c r="AQ38"/>
  <c r="AA14"/>
  <c r="B17" i="45"/>
  <c r="R14" i="28"/>
  <c r="M20" i="20"/>
  <c r="O19"/>
  <c r="X19" s="1"/>
  <c r="T19"/>
  <c r="AT22"/>
  <c r="AS23"/>
  <c r="CA22"/>
  <c r="AQ30" i="28"/>
  <c r="AS30"/>
  <c r="CE20" i="20"/>
  <c r="BA56" i="28"/>
  <c r="AY56"/>
  <c r="B21" i="45"/>
  <c r="AC18" i="28"/>
  <c r="AC15"/>
  <c r="BA55"/>
  <c r="AY55"/>
  <c r="BA42"/>
  <c r="AY42"/>
  <c r="AS36"/>
  <c r="AQ36"/>
  <c r="AY28"/>
  <c r="BA28"/>
  <c r="BI39"/>
  <c r="BG39"/>
  <c r="BG17" i="20"/>
  <c r="BI17" s="1"/>
  <c r="BK17" s="1"/>
  <c r="BF17"/>
  <c r="J20" i="32"/>
  <c r="L20" s="1"/>
  <c r="L20" i="45" s="1"/>
  <c r="AZ17" i="20"/>
  <c r="CI17"/>
  <c r="CJ17" s="1"/>
  <c r="AC17" i="28" s="1"/>
  <c r="AA18"/>
  <c r="AA19"/>
  <c r="Q17"/>
  <c r="P17" s="1"/>
  <c r="R17" s="1"/>
  <c r="AQ44"/>
  <c r="AS44"/>
  <c r="AQ45"/>
  <c r="AS45"/>
  <c r="AQ48"/>
  <c r="AS48"/>
  <c r="AS53"/>
  <c r="AQ53"/>
  <c r="BA16"/>
  <c r="AY16"/>
  <c r="AY13"/>
  <c r="BA13"/>
  <c r="AY46"/>
  <c r="BA46"/>
  <c r="L111" i="32"/>
  <c r="C111" s="1"/>
  <c r="N45" i="22"/>
  <c r="L111" i="45"/>
  <c r="C111" s="1"/>
  <c r="BG40" i="28"/>
  <c r="BI40"/>
  <c r="BI31"/>
  <c r="BG31"/>
  <c r="L113" i="32"/>
  <c r="C113" s="1"/>
  <c r="P51" i="22"/>
  <c r="N51" s="1"/>
  <c r="L113" i="45"/>
  <c r="C113" s="1"/>
  <c r="BA27" i="28"/>
  <c r="AY27"/>
  <c r="BG47"/>
  <c r="BI47"/>
  <c r="BA54"/>
  <c r="AY54"/>
  <c r="BI52"/>
  <c r="BG52"/>
  <c r="BG25"/>
  <c r="BI25"/>
  <c r="BG41"/>
  <c r="BI41"/>
  <c r="L112" i="32"/>
  <c r="C112" s="1"/>
  <c r="P47" i="22"/>
  <c r="N47" s="1"/>
  <c r="L112" i="45"/>
  <c r="C112" s="1"/>
  <c r="BI29" i="28"/>
  <c r="BG29"/>
  <c r="AY33"/>
  <c r="BA33"/>
  <c r="AY34"/>
  <c r="BA34"/>
  <c r="AY37"/>
  <c r="BA37"/>
  <c r="BG35"/>
  <c r="BI35"/>
  <c r="BG42" l="1"/>
  <c r="BI42"/>
  <c r="BI56"/>
  <c r="BG56"/>
  <c r="O20" i="20"/>
  <c r="M21"/>
  <c r="X20"/>
  <c r="T20"/>
  <c r="BA38" i="28"/>
  <c r="AY38"/>
  <c r="BO51"/>
  <c r="BQ51"/>
  <c r="BW51" s="1"/>
  <c r="BA49"/>
  <c r="AY49"/>
  <c r="AY45"/>
  <c r="BA45"/>
  <c r="BO39"/>
  <c r="BQ39"/>
  <c r="BW39" s="1"/>
  <c r="AY36"/>
  <c r="BA36"/>
  <c r="BG55"/>
  <c r="BI55"/>
  <c r="AW22" i="20"/>
  <c r="CE22"/>
  <c r="BZ22"/>
  <c r="L22" i="28" s="1"/>
  <c r="CB22" i="20"/>
  <c r="N21" i="28"/>
  <c r="T21"/>
  <c r="J17" i="45"/>
  <c r="I17" i="32"/>
  <c r="L17" s="1"/>
  <c r="BD16" i="20"/>
  <c r="BE16"/>
  <c r="AY48" i="28"/>
  <c r="BA48"/>
  <c r="AY44"/>
  <c r="BA44"/>
  <c r="AK18"/>
  <c r="AI18"/>
  <c r="CR19" i="20"/>
  <c r="F22" i="32"/>
  <c r="L22" s="1"/>
  <c r="L22" i="45" s="1"/>
  <c r="F22"/>
  <c r="R19" i="20"/>
  <c r="D19" i="28"/>
  <c r="Q19" s="1"/>
  <c r="P19" s="1"/>
  <c r="R19" s="1"/>
  <c r="BE19" i="20"/>
  <c r="CP19"/>
  <c r="BS19"/>
  <c r="BW19" s="1"/>
  <c r="AS14" i="28"/>
  <c r="AQ14"/>
  <c r="AW21" i="20"/>
  <c r="BA53" i="28"/>
  <c r="AY53"/>
  <c r="AI15"/>
  <c r="AK15"/>
  <c r="AY30"/>
  <c r="BA30"/>
  <c r="CI19" i="20"/>
  <c r="CJ19" s="1"/>
  <c r="AC19" i="28" s="1"/>
  <c r="AZ19" i="20"/>
  <c r="J22" i="45"/>
  <c r="J22" i="32"/>
  <c r="AK17" i="28"/>
  <c r="AI17"/>
  <c r="BG28"/>
  <c r="BI28"/>
  <c r="AT23" i="20"/>
  <c r="CA23"/>
  <c r="AS24"/>
  <c r="D18" i="28"/>
  <c r="Q18" s="1"/>
  <c r="P18" s="1"/>
  <c r="R18" s="1"/>
  <c r="F21" i="32"/>
  <c r="CR18" i="20"/>
  <c r="F21" i="45"/>
  <c r="R18" i="20"/>
  <c r="BS18"/>
  <c r="BW18" s="1"/>
  <c r="AI18"/>
  <c r="AK18" s="1"/>
  <c r="CP18"/>
  <c r="BG50" i="28"/>
  <c r="BI50"/>
  <c r="CF20" i="20"/>
  <c r="BG34" i="28"/>
  <c r="BI34"/>
  <c r="BG54"/>
  <c r="BI54"/>
  <c r="BO31"/>
  <c r="BQ31"/>
  <c r="BW31" s="1"/>
  <c r="BQ25"/>
  <c r="BW25" s="1"/>
  <c r="BO25"/>
  <c r="BO40"/>
  <c r="BQ40"/>
  <c r="BW40" s="1"/>
  <c r="BG13"/>
  <c r="BI13"/>
  <c r="BQ35"/>
  <c r="BW35" s="1"/>
  <c r="BO35"/>
  <c r="BI33"/>
  <c r="BG33"/>
  <c r="BG37"/>
  <c r="BI37"/>
  <c r="BO52"/>
  <c r="BQ52"/>
  <c r="BW52" s="1"/>
  <c r="BO29"/>
  <c r="BQ29"/>
  <c r="BW29" s="1"/>
  <c r="BQ41"/>
  <c r="BW41" s="1"/>
  <c r="BO41"/>
  <c r="BQ47"/>
  <c r="BW47" s="1"/>
  <c r="BO47"/>
  <c r="BI27"/>
  <c r="BG27"/>
  <c r="BI46"/>
  <c r="BG46"/>
  <c r="BG16"/>
  <c r="BI16"/>
  <c r="AS17" l="1"/>
  <c r="AQ17"/>
  <c r="BO50"/>
  <c r="BQ50"/>
  <c r="BW50" s="1"/>
  <c r="CB23" i="20"/>
  <c r="CE23" s="1"/>
  <c r="AW23"/>
  <c r="BZ23"/>
  <c r="L23" i="28" s="1"/>
  <c r="AS15"/>
  <c r="AQ15"/>
  <c r="BF19" i="20"/>
  <c r="BG19"/>
  <c r="BI19" s="1"/>
  <c r="BK19" s="1"/>
  <c r="BI44" i="28"/>
  <c r="BG44"/>
  <c r="BG16" i="20"/>
  <c r="BI16" s="1"/>
  <c r="BK16" s="1"/>
  <c r="BF16"/>
  <c r="BI45" i="28"/>
  <c r="BG45"/>
  <c r="AT24" i="20"/>
  <c r="CA24"/>
  <c r="BG53" i="28"/>
  <c r="BI53"/>
  <c r="AS18"/>
  <c r="AQ18"/>
  <c r="N22"/>
  <c r="T22"/>
  <c r="BG49"/>
  <c r="BI49"/>
  <c r="BI38"/>
  <c r="BG38"/>
  <c r="CH20" i="20"/>
  <c r="AY20"/>
  <c r="CG20"/>
  <c r="BQ28" i="28"/>
  <c r="BW28" s="1"/>
  <c r="BO28"/>
  <c r="BI30"/>
  <c r="BG30"/>
  <c r="BG48"/>
  <c r="BI48"/>
  <c r="L17" i="45"/>
  <c r="BQ55" i="28"/>
  <c r="BW55" s="1"/>
  <c r="BO55"/>
  <c r="T21" i="20"/>
  <c r="O21"/>
  <c r="X21" s="1"/>
  <c r="M22"/>
  <c r="BQ42" i="28"/>
  <c r="BW42" s="1"/>
  <c r="BO42"/>
  <c r="CF21" i="20"/>
  <c r="AI19" i="28"/>
  <c r="AK19"/>
  <c r="AX21" i="20"/>
  <c r="CC21"/>
  <c r="BA21"/>
  <c r="BD21" s="1"/>
  <c r="BL21" s="1"/>
  <c r="I24" i="32" s="1"/>
  <c r="CD21" i="20"/>
  <c r="AY14" i="28"/>
  <c r="BA14"/>
  <c r="BL16" i="20"/>
  <c r="CC22"/>
  <c r="F22" i="28" s="1"/>
  <c r="B25" i="45" s="1"/>
  <c r="AX22" i="20"/>
  <c r="CD22"/>
  <c r="BA22"/>
  <c r="BQ56" i="28"/>
  <c r="BW56" s="1"/>
  <c r="BO56"/>
  <c r="BC18" i="20"/>
  <c r="BD18" s="1"/>
  <c r="BL18" s="1"/>
  <c r="H21" i="32"/>
  <c r="BQ18" i="20"/>
  <c r="BU18" s="1"/>
  <c r="H21" i="45"/>
  <c r="AL18" i="20"/>
  <c r="BG36" i="28"/>
  <c r="BI36"/>
  <c r="CR20" i="20"/>
  <c r="R20"/>
  <c r="AI20"/>
  <c r="AK20" s="1"/>
  <c r="F23" i="32"/>
  <c r="F23" i="45"/>
  <c r="D20" i="28"/>
  <c r="Q20" s="1"/>
  <c r="P20" s="1"/>
  <c r="R20" s="1"/>
  <c r="CP20" i="20"/>
  <c r="BO27" i="28"/>
  <c r="BQ27"/>
  <c r="BW27" s="1"/>
  <c r="BQ37"/>
  <c r="BW37" s="1"/>
  <c r="BO37"/>
  <c r="BQ33"/>
  <c r="BW33" s="1"/>
  <c r="BO33"/>
  <c r="BQ16"/>
  <c r="BW16" s="1"/>
  <c r="BO16"/>
  <c r="BO54"/>
  <c r="BQ54"/>
  <c r="BW54" s="1"/>
  <c r="BO46"/>
  <c r="BQ46"/>
  <c r="BW46" s="1"/>
  <c r="BQ13"/>
  <c r="BO13"/>
  <c r="BQ34"/>
  <c r="BW34" s="1"/>
  <c r="BO34"/>
  <c r="H23" i="45" l="1"/>
  <c r="AL20" i="20"/>
  <c r="BQ20"/>
  <c r="BU20" s="1"/>
  <c r="BC20"/>
  <c r="BD20" s="1"/>
  <c r="H23" i="32"/>
  <c r="I19"/>
  <c r="L19" s="1"/>
  <c r="J19" i="45"/>
  <c r="BQ53" i="28"/>
  <c r="BW53" s="1"/>
  <c r="BO53"/>
  <c r="BS20" i="20"/>
  <c r="BW20" s="1"/>
  <c r="AA22" i="28"/>
  <c r="BE18" i="20"/>
  <c r="AY21"/>
  <c r="BE21" s="1"/>
  <c r="CG21"/>
  <c r="CH21"/>
  <c r="X22"/>
  <c r="M23"/>
  <c r="CF23" s="1"/>
  <c r="O22"/>
  <c r="T22" s="1"/>
  <c r="BQ48" i="28"/>
  <c r="BW48" s="1"/>
  <c r="BO48"/>
  <c r="AY18"/>
  <c r="BA18"/>
  <c r="AX23" i="20"/>
  <c r="CC23"/>
  <c r="F23" i="28" s="1"/>
  <c r="BA23" i="20"/>
  <c r="BD23" s="1"/>
  <c r="BL23" s="1"/>
  <c r="I26" i="32" s="1"/>
  <c r="CD23" i="20"/>
  <c r="BG14" i="28"/>
  <c r="BI14"/>
  <c r="CP21" i="20"/>
  <c r="F24" i="45"/>
  <c r="D21" i="28"/>
  <c r="Q21" s="1"/>
  <c r="P21" s="1"/>
  <c r="R21" i="20"/>
  <c r="BS21"/>
  <c r="BW21" s="1"/>
  <c r="F24" i="32"/>
  <c r="CR21" i="20"/>
  <c r="BO30" i="28"/>
  <c r="BQ30"/>
  <c r="BW30" s="1"/>
  <c r="AZ20" i="20"/>
  <c r="CI20"/>
  <c r="CJ20" s="1"/>
  <c r="J23" i="32"/>
  <c r="BQ49" i="28"/>
  <c r="BW49" s="1"/>
  <c r="BO49"/>
  <c r="AW24" i="20"/>
  <c r="BZ24"/>
  <c r="L24" i="28" s="1"/>
  <c r="CB24" i="20"/>
  <c r="CE24"/>
  <c r="T23" i="28"/>
  <c r="N23"/>
  <c r="CF22" i="20"/>
  <c r="BQ36" i="28"/>
  <c r="BW36" s="1"/>
  <c r="BO36"/>
  <c r="F21"/>
  <c r="I21" i="32"/>
  <c r="L21" s="1"/>
  <c r="L21" i="45" s="1"/>
  <c r="J21"/>
  <c r="AQ19" i="28"/>
  <c r="AS19"/>
  <c r="BQ38"/>
  <c r="BW38" s="1"/>
  <c r="BO38"/>
  <c r="BO45"/>
  <c r="BQ45"/>
  <c r="BW45" s="1"/>
  <c r="BQ44"/>
  <c r="BW44" s="1"/>
  <c r="BO44"/>
  <c r="AY15"/>
  <c r="BA15"/>
  <c r="AY17"/>
  <c r="BA17"/>
  <c r="BW13"/>
  <c r="CG23" i="20" l="1"/>
  <c r="AY23"/>
  <c r="CH23"/>
  <c r="BG21"/>
  <c r="BI21" s="1"/>
  <c r="BK21" s="1"/>
  <c r="BF21"/>
  <c r="AI22"/>
  <c r="AK22" s="1"/>
  <c r="R22"/>
  <c r="CP22"/>
  <c r="D22" i="28"/>
  <c r="Q22" s="1"/>
  <c r="P22" s="1"/>
  <c r="R22" s="1"/>
  <c r="F25" i="45"/>
  <c r="F25" i="32"/>
  <c r="CR22" i="20"/>
  <c r="BS22"/>
  <c r="BW22" s="1"/>
  <c r="BI15" i="28"/>
  <c r="BG15"/>
  <c r="T24"/>
  <c r="N24"/>
  <c r="BI17"/>
  <c r="BG17"/>
  <c r="BO14"/>
  <c r="BQ14"/>
  <c r="BG18"/>
  <c r="BI18"/>
  <c r="R21"/>
  <c r="L24" i="32"/>
  <c r="L24" i="45" s="1"/>
  <c r="BG18" i="20"/>
  <c r="BI18"/>
  <c r="BK18" s="1"/>
  <c r="BF18"/>
  <c r="BL20"/>
  <c r="AC20" i="28"/>
  <c r="BA19"/>
  <c r="AY19"/>
  <c r="CH22" i="20"/>
  <c r="AY22"/>
  <c r="CG22"/>
  <c r="AX24"/>
  <c r="AW59" s="1"/>
  <c r="CC24"/>
  <c r="CD24"/>
  <c r="BA24"/>
  <c r="AA23" i="28"/>
  <c r="B26" i="45"/>
  <c r="O23" i="20"/>
  <c r="T23"/>
  <c r="M24"/>
  <c r="X23"/>
  <c r="J24" i="32"/>
  <c r="AZ21" i="20"/>
  <c r="CI21"/>
  <c r="CJ21" s="1"/>
  <c r="AC21" i="28" s="1"/>
  <c r="J24" i="45"/>
  <c r="BE20" i="20"/>
  <c r="B24" i="45"/>
  <c r="AA21" i="28"/>
  <c r="L19" i="45"/>
  <c r="BS23" i="20" l="1"/>
  <c r="BW23" s="1"/>
  <c r="F26" i="32"/>
  <c r="F26" i="45"/>
  <c r="CP23" i="20"/>
  <c r="D23" i="28"/>
  <c r="Q23" s="1"/>
  <c r="P23" s="1"/>
  <c r="R23" s="1"/>
  <c r="CR23" i="20"/>
  <c r="BE23"/>
  <c r="R23"/>
  <c r="AI20" i="28"/>
  <c r="AK20"/>
  <c r="AK21"/>
  <c r="AI21"/>
  <c r="O24" i="20"/>
  <c r="T24" s="1"/>
  <c r="X24"/>
  <c r="AZ22"/>
  <c r="CI22"/>
  <c r="CJ22" s="1"/>
  <c r="AC22" i="28" s="1"/>
  <c r="J25" i="32"/>
  <c r="BA59" i="20"/>
  <c r="I23" i="32"/>
  <c r="L23" s="1"/>
  <c r="J23" i="45"/>
  <c r="BF20" i="20"/>
  <c r="BG20"/>
  <c r="BI20" s="1"/>
  <c r="BK20" s="1"/>
  <c r="F24" i="28"/>
  <c r="AA24" s="1"/>
  <c r="CC59" i="20"/>
  <c r="BO18" i="28"/>
  <c r="BQ18"/>
  <c r="BW18" s="1"/>
  <c r="CI23" i="20"/>
  <c r="CJ23" s="1"/>
  <c r="AC23" i="28" s="1"/>
  <c r="AZ23" i="20"/>
  <c r="J26" i="45"/>
  <c r="J26" i="32"/>
  <c r="BW14" i="28"/>
  <c r="BQ22" i="20"/>
  <c r="BU22" s="1"/>
  <c r="AL22"/>
  <c r="BC22"/>
  <c r="BD22" s="1"/>
  <c r="H25" i="32"/>
  <c r="H25" i="45"/>
  <c r="BG19" i="28"/>
  <c r="BI19"/>
  <c r="BO17"/>
  <c r="BQ17"/>
  <c r="BW17" s="1"/>
  <c r="BO15"/>
  <c r="BQ15"/>
  <c r="BW15" s="1"/>
  <c r="CF24" i="20"/>
  <c r="BE22"/>
  <c r="R24" l="1"/>
  <c r="S59" s="1"/>
  <c r="F15" i="22" s="1"/>
  <c r="CR24" i="20"/>
  <c r="F27" i="32"/>
  <c r="CP24" i="20"/>
  <c r="D24" i="28"/>
  <c r="Q24" s="1"/>
  <c r="P24" s="1"/>
  <c r="R24" s="1"/>
  <c r="F27" i="45"/>
  <c r="AI24" i="20"/>
  <c r="AK24" s="1"/>
  <c r="BF22"/>
  <c r="BG22"/>
  <c r="BI22" s="1"/>
  <c r="BK22" s="1"/>
  <c r="BQ19" i="28"/>
  <c r="BW19" s="1"/>
  <c r="BO19"/>
  <c r="CG24" i="20"/>
  <c r="AY24"/>
  <c r="CH24"/>
  <c r="F59" i="28"/>
  <c r="D61" i="32"/>
  <c r="AK22" i="28"/>
  <c r="AI22"/>
  <c r="AS20"/>
  <c r="AQ20"/>
  <c r="L26" i="32"/>
  <c r="L26" i="45" s="1"/>
  <c r="L23"/>
  <c r="BG23" i="20"/>
  <c r="BI23" s="1"/>
  <c r="BK23" s="1"/>
  <c r="BF23"/>
  <c r="BL22"/>
  <c r="AI23" i="28"/>
  <c r="AK23"/>
  <c r="B27" i="45"/>
  <c r="B61" s="1"/>
  <c r="C61" s="1"/>
  <c r="F61" i="28"/>
  <c r="F62" s="1"/>
  <c r="F57" s="1"/>
  <c r="AS21"/>
  <c r="AQ21"/>
  <c r="BA21" l="1"/>
  <c r="AY21"/>
  <c r="AQ23"/>
  <c r="AS23"/>
  <c r="AQ22"/>
  <c r="AS22"/>
  <c r="H27" i="32"/>
  <c r="BQ24" i="20"/>
  <c r="BU24" s="1"/>
  <c r="H27" i="45"/>
  <c r="AL24" i="20"/>
  <c r="AK59" s="1"/>
  <c r="J15" i="22" s="1"/>
  <c r="BC24" i="20"/>
  <c r="BD24" s="1"/>
  <c r="I25" i="32"/>
  <c r="L25" s="1"/>
  <c r="J25" i="45"/>
  <c r="L57" i="28"/>
  <c r="H57"/>
  <c r="V57"/>
  <c r="Y57" s="1"/>
  <c r="I57"/>
  <c r="D57"/>
  <c r="W57"/>
  <c r="J57"/>
  <c r="BA20"/>
  <c r="AY20"/>
  <c r="C17" i="22"/>
  <c r="C19" s="1"/>
  <c r="C164" i="32"/>
  <c r="E61"/>
  <c r="I61"/>
  <c r="J27"/>
  <c r="CI24" i="20"/>
  <c r="CJ24" s="1"/>
  <c r="AZ24"/>
  <c r="AY59" s="1"/>
  <c r="BE24"/>
  <c r="BS24"/>
  <c r="BW24" s="1"/>
  <c r="BG24" l="1"/>
  <c r="BI24" s="1"/>
  <c r="BK24" s="1"/>
  <c r="BK59" s="1"/>
  <c r="BF24"/>
  <c r="BE59" s="1"/>
  <c r="AC24" i="28"/>
  <c r="CJ59" i="20"/>
  <c r="B57" i="28" s="1"/>
  <c r="F164" i="32"/>
  <c r="D164"/>
  <c r="T57" i="28"/>
  <c r="AA57" s="1"/>
  <c r="AA7" s="1"/>
  <c r="N57"/>
  <c r="AY23"/>
  <c r="BA23"/>
  <c r="Q57"/>
  <c r="P57" s="1"/>
  <c r="R57" s="1"/>
  <c r="R7" s="1"/>
  <c r="P33" i="22" s="1"/>
  <c r="N15"/>
  <c r="BI21" i="28"/>
  <c r="BG21"/>
  <c r="L25" i="45"/>
  <c r="BA22" i="28"/>
  <c r="AY22"/>
  <c r="BI20"/>
  <c r="BG20"/>
  <c r="BL24" i="20"/>
  <c r="BC59"/>
  <c r="L15" i="22" s="1"/>
  <c r="P15" s="1"/>
  <c r="BQ20" i="28" l="1"/>
  <c r="BO20"/>
  <c r="BG22"/>
  <c r="BI22"/>
  <c r="BO21"/>
  <c r="BQ21"/>
  <c r="BW21" s="1"/>
  <c r="I27" i="32"/>
  <c r="L27" s="1"/>
  <c r="J27" i="45"/>
  <c r="L105" i="32"/>
  <c r="C105" s="1"/>
  <c r="N33" i="22"/>
  <c r="L105" i="45"/>
  <c r="C105" s="1"/>
  <c r="BG23" i="28"/>
  <c r="BI23"/>
  <c r="L63" i="32"/>
  <c r="C63" s="1"/>
  <c r="P17" i="22"/>
  <c r="P19" s="1"/>
  <c r="N17"/>
  <c r="L63" i="45"/>
  <c r="C63" s="1"/>
  <c r="L103"/>
  <c r="P29" i="22"/>
  <c r="L103" i="32"/>
  <c r="AK24" i="28"/>
  <c r="AI24"/>
  <c r="AC59"/>
  <c r="N19" i="22" l="1"/>
  <c r="AC57" i="28"/>
  <c r="G6" i="26"/>
  <c r="N29" i="22"/>
  <c r="C103" i="32"/>
  <c r="AS24" i="28"/>
  <c r="AQ24"/>
  <c r="AK59"/>
  <c r="BO23"/>
  <c r="BQ23"/>
  <c r="BW23" s="1"/>
  <c r="C103" i="45"/>
  <c r="L27"/>
  <c r="L61" s="1"/>
  <c r="L61" i="32"/>
  <c r="BQ22" i="28"/>
  <c r="BW22" s="1"/>
  <c r="BO22"/>
  <c r="BW20"/>
  <c r="L65" i="45" l="1"/>
  <c r="F145"/>
  <c r="H145" s="1"/>
  <c r="F145" i="32"/>
  <c r="H145" s="1"/>
  <c r="I143" s="1"/>
  <c r="L145" s="1"/>
  <c r="L65"/>
  <c r="AY24" i="28"/>
  <c r="BA24"/>
  <c r="AS59"/>
  <c r="AS57" s="1"/>
  <c r="AY57" s="1"/>
  <c r="AY7" s="1"/>
  <c r="AI57"/>
  <c r="AI7" s="1"/>
  <c r="AK57"/>
  <c r="AQ57" s="1"/>
  <c r="AQ7" s="1"/>
  <c r="L109" i="45" l="1"/>
  <c r="C109" s="1"/>
  <c r="P41" i="22"/>
  <c r="N41" s="1"/>
  <c r="L109" i="32"/>
  <c r="C109" s="1"/>
  <c r="L104"/>
  <c r="L104" i="45"/>
  <c r="P31" i="22"/>
  <c r="L73" i="32"/>
  <c r="L90"/>
  <c r="L86"/>
  <c r="L92"/>
  <c r="E44" i="44"/>
  <c r="L85" i="32"/>
  <c r="L80"/>
  <c r="L98"/>
  <c r="P21" i="22" s="1"/>
  <c r="L71" i="32"/>
  <c r="L72"/>
  <c r="L91"/>
  <c r="L77"/>
  <c r="L84"/>
  <c r="L83"/>
  <c r="L74"/>
  <c r="L81"/>
  <c r="L87"/>
  <c r="L82"/>
  <c r="L70"/>
  <c r="L75"/>
  <c r="L95"/>
  <c r="L96" s="1"/>
  <c r="L76"/>
  <c r="L80" i="45"/>
  <c r="L87"/>
  <c r="L92"/>
  <c r="L81"/>
  <c r="L90"/>
  <c r="L72"/>
  <c r="L76"/>
  <c r="L70"/>
  <c r="L82"/>
  <c r="L83"/>
  <c r="L75"/>
  <c r="L84"/>
  <c r="L91"/>
  <c r="L73"/>
  <c r="L85"/>
  <c r="L86"/>
  <c r="L98"/>
  <c r="L71"/>
  <c r="L77"/>
  <c r="L74"/>
  <c r="L95"/>
  <c r="L96" s="1"/>
  <c r="L145"/>
  <c r="I143"/>
  <c r="L108"/>
  <c r="C108" s="1"/>
  <c r="P39" i="22"/>
  <c r="N39" s="1"/>
  <c r="L108" i="32"/>
  <c r="C108" s="1"/>
  <c r="BG24" i="28"/>
  <c r="BI24"/>
  <c r="BA59"/>
  <c r="BA57" s="1"/>
  <c r="BG57" s="1"/>
  <c r="L146" i="32"/>
  <c r="P69" i="22"/>
  <c r="E8" i="32"/>
  <c r="L146" i="45" l="1"/>
  <c r="E8"/>
  <c r="BO24" i="28"/>
  <c r="BQ24"/>
  <c r="BI59"/>
  <c r="BI57" s="1"/>
  <c r="BO57" s="1"/>
  <c r="BO7" s="1"/>
  <c r="P43" i="22" s="1"/>
  <c r="C104" i="45"/>
  <c r="BG7" i="28"/>
  <c r="L93" i="45"/>
  <c r="L88"/>
  <c r="L78" i="32"/>
  <c r="L88"/>
  <c r="N21" i="22"/>
  <c r="P23"/>
  <c r="N31"/>
  <c r="C104" i="32"/>
  <c r="L78" i="45"/>
  <c r="L93" i="32"/>
  <c r="L110" l="1"/>
  <c r="C110" s="1"/>
  <c r="L110" i="45"/>
  <c r="C110" s="1"/>
  <c r="N43" i="22"/>
  <c r="P37"/>
  <c r="L107" i="32"/>
  <c r="L107" i="45"/>
  <c r="BW24" i="28"/>
  <c r="BQ59"/>
  <c r="BQ57" s="1"/>
  <c r="BW57" s="1"/>
  <c r="C107" i="32" l="1"/>
  <c r="C107" i="45"/>
  <c r="BW7" i="28"/>
  <c r="N37" i="22"/>
  <c r="E16" i="44"/>
  <c r="E41" s="1"/>
  <c r="L117" i="45" l="1"/>
  <c r="P57" i="22"/>
  <c r="L117" i="32"/>
  <c r="C117" i="45" l="1"/>
  <c r="L118"/>
  <c r="L120" s="1"/>
  <c r="E19" i="44"/>
  <c r="E45" s="1"/>
  <c r="N57" i="22"/>
  <c r="P59"/>
  <c r="P61" s="1"/>
  <c r="C117" i="32"/>
  <c r="L118"/>
  <c r="L120" s="1"/>
  <c r="L126" i="45" l="1"/>
  <c r="L127" s="1"/>
  <c r="L134" s="1"/>
  <c r="L126" i="32"/>
  <c r="E18" i="44"/>
  <c r="L127" i="32" l="1"/>
  <c r="P65" i="22"/>
  <c r="L132" i="45"/>
  <c r="L133"/>
  <c r="L131"/>
  <c r="E43" i="44"/>
  <c r="M41" s="1"/>
  <c r="M16"/>
  <c r="L132" i="32" l="1"/>
  <c r="L131"/>
  <c r="L134"/>
  <c r="L133"/>
  <c r="L135" i="45"/>
  <c r="L137" s="1"/>
  <c r="L139" s="1"/>
  <c r="N65" i="22"/>
  <c r="L135" i="32" l="1"/>
  <c r="K159" i="45"/>
  <c r="B8"/>
  <c r="G8" s="1"/>
  <c r="L8" s="1"/>
  <c r="P67" i="22" l="1"/>
  <c r="L137" i="32"/>
  <c r="L139" s="1"/>
  <c r="N67" i="22" l="1"/>
  <c r="F75"/>
  <c r="B8" i="32"/>
  <c r="G8" s="1"/>
  <c r="L8" s="1"/>
  <c r="K159"/>
  <c r="N75" i="22" l="1"/>
  <c r="J75"/>
  <c r="E5" i="44"/>
  <c r="M5"/>
  <c r="E8" l="1"/>
  <c r="E6"/>
  <c r="E12" s="1"/>
  <c r="E13" s="1"/>
  <c r="E15" s="1"/>
  <c r="E11"/>
  <c r="E9"/>
  <c r="E10"/>
  <c r="E7"/>
  <c r="E30"/>
  <c r="M10"/>
  <c r="M8"/>
  <c r="M12"/>
  <c r="M11"/>
  <c r="M9"/>
  <c r="E34" l="1"/>
  <c r="E31"/>
  <c r="E37" s="1"/>
  <c r="E38" s="1"/>
  <c r="E40" s="1"/>
  <c r="E46" s="1"/>
  <c r="G46" s="1"/>
  <c r="M30"/>
  <c r="E33"/>
  <c r="E36"/>
  <c r="E32"/>
  <c r="E35"/>
  <c r="E17"/>
  <c r="E42" s="1"/>
  <c r="M13"/>
  <c r="M15" s="1"/>
  <c r="M17" s="1"/>
  <c r="M38" l="1"/>
  <c r="M20"/>
  <c r="M19"/>
  <c r="M18"/>
  <c r="M21" s="1"/>
  <c r="O21" s="1"/>
  <c r="M33"/>
  <c r="M34"/>
  <c r="M36"/>
  <c r="M35"/>
  <c r="E20"/>
  <c r="G20" s="1"/>
  <c r="M37" l="1"/>
  <c r="M40" s="1"/>
  <c r="M42" s="1"/>
  <c r="M44" l="1"/>
  <c r="M45"/>
  <c r="M43"/>
  <c r="M46" l="1"/>
  <c r="O46" s="1"/>
</calcChain>
</file>

<file path=xl/comments1.xml><?xml version="1.0" encoding="utf-8"?>
<comments xmlns="http://schemas.openxmlformats.org/spreadsheetml/2006/main">
  <authors>
    <author>I1074249</author>
    <author>infra</author>
  </authors>
  <commentList>
    <comment ref="C14" authorId="0">
      <text>
        <r>
          <rPr>
            <b/>
            <sz val="8"/>
            <color indexed="81"/>
            <rFont val="Tahoma"/>
          </rPr>
          <t>Se a opção não for Pregão Eletrônico, o Gestor deverá justificar. 
Conforme: Decreto nº 5.450, de 31/05/2005.</t>
        </r>
        <r>
          <rPr>
            <sz val="8"/>
            <color indexed="81"/>
            <rFont val="Tahoma"/>
          </rPr>
          <t xml:space="preserve">
</t>
        </r>
      </text>
    </comment>
    <comment ref="C20" authorId="1">
      <text>
        <r>
          <rPr>
            <sz val="8"/>
            <color indexed="81"/>
            <rFont val="Tahoma"/>
          </rPr>
          <t>Se esta for uma planilha de prorrogação, informar o saldo não utilizado na versão anterior</t>
        </r>
      </text>
    </comment>
  </commentList>
</comments>
</file>

<file path=xl/comments10.xml><?xml version="1.0" encoding="utf-8"?>
<comments xmlns="http://schemas.openxmlformats.org/spreadsheetml/2006/main">
  <authors>
    <author>I1074249</author>
    <author>infra</author>
    <author>Cassia</author>
  </authors>
  <commentList>
    <comment ref="J6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6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J12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J1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9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J20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21" authorId="2">
      <text>
        <r>
          <rPr>
            <b/>
            <sz val="8"/>
            <color indexed="81"/>
            <rFont val="Tahoma"/>
          </rPr>
          <t>Informar a Quilometragem prevista entre as manutenções. 
Ver manual do veículo.</t>
        </r>
        <r>
          <rPr>
            <sz val="8"/>
            <color indexed="81"/>
            <rFont val="Tahoma"/>
          </rPr>
          <t xml:space="preserve">
</t>
        </r>
      </text>
    </comment>
    <comment ref="J21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J27" authorId="2">
      <text>
        <r>
          <rPr>
            <b/>
            <sz val="8"/>
            <color indexed="81"/>
            <rFont val="Tahoma"/>
          </rPr>
          <t>Estima-se 3 % sobre o valor do veículo.</t>
        </r>
        <r>
          <rPr>
            <sz val="8"/>
            <color indexed="81"/>
            <rFont val="Tahoma"/>
          </rPr>
          <t xml:space="preserve">
</t>
        </r>
      </text>
    </comment>
    <comment ref="R31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40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40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J46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J4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4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49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50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51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52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53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J54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55" authorId="2">
      <text>
        <r>
          <rPr>
            <b/>
            <sz val="8"/>
            <color indexed="81"/>
            <rFont val="Tahoma"/>
          </rPr>
          <t>Informar a Quilometragem prevista entre as manutenções. 
Ver manual do veículo.</t>
        </r>
        <r>
          <rPr>
            <sz val="8"/>
            <color indexed="81"/>
            <rFont val="Tahoma"/>
          </rPr>
          <t xml:space="preserve">
</t>
        </r>
      </text>
    </comment>
    <comment ref="J55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65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70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70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J76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J7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7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79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80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81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82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83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J84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85" authorId="2">
      <text>
        <r>
          <rPr>
            <b/>
            <sz val="8"/>
            <color indexed="81"/>
            <rFont val="Tahoma"/>
          </rPr>
          <t>Informar a Quilometragem prevista entre as manutenções. 
Ver manual do veículo.</t>
        </r>
        <r>
          <rPr>
            <sz val="8"/>
            <color indexed="81"/>
            <rFont val="Tahoma"/>
          </rPr>
          <t xml:space="preserve">
</t>
        </r>
      </text>
    </comment>
    <comment ref="J85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95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104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104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J110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J111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12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1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1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1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1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17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J118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119" authorId="2">
      <text>
        <r>
          <rPr>
            <b/>
            <sz val="8"/>
            <color indexed="81"/>
            <rFont val="Tahoma"/>
          </rPr>
          <t>Informar a Quilometragem prevista entre as manutenções. 
Ver manual do veículo.</t>
        </r>
        <r>
          <rPr>
            <sz val="8"/>
            <color indexed="81"/>
            <rFont val="Tahoma"/>
          </rPr>
          <t xml:space="preserve">
</t>
        </r>
      </text>
    </comment>
    <comment ref="J119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129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134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134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J140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J141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42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4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4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4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4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47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J148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149" authorId="2">
      <text>
        <r>
          <rPr>
            <b/>
            <sz val="8"/>
            <color indexed="81"/>
            <rFont val="Tahoma"/>
          </rPr>
          <t>Informar a Quilometragem prevista entre as manutenções. 
Ver manual do veículo.</t>
        </r>
        <r>
          <rPr>
            <sz val="8"/>
            <color indexed="81"/>
            <rFont val="Tahoma"/>
          </rPr>
          <t xml:space="preserve">
</t>
        </r>
      </text>
    </comment>
    <comment ref="J149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159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168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168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J174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J17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7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7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7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79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80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81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J182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183" authorId="2">
      <text>
        <r>
          <rPr>
            <b/>
            <sz val="8"/>
            <color indexed="81"/>
            <rFont val="Tahoma"/>
          </rPr>
          <t>Informar a Quilometragem prevista entre as manutenções. 
Ver manual do veículo.</t>
        </r>
        <r>
          <rPr>
            <sz val="8"/>
            <color indexed="81"/>
            <rFont val="Tahoma"/>
          </rPr>
          <t xml:space="preserve">
</t>
        </r>
      </text>
    </comment>
    <comment ref="J183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193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</commentList>
</comments>
</file>

<file path=xl/comments11.xml><?xml version="1.0" encoding="utf-8"?>
<comments xmlns="http://schemas.openxmlformats.org/spreadsheetml/2006/main">
  <authors>
    <author>Cassia</author>
    <author>I1074249</author>
  </authors>
  <commentList>
    <comment ref="D6" authorId="0">
      <text>
        <r>
          <rPr>
            <b/>
            <sz val="8"/>
            <color indexed="81"/>
            <rFont val="Tahoma"/>
          </rPr>
          <t xml:space="preserve">Bimestral = </t>
        </r>
        <r>
          <rPr>
            <b/>
            <sz val="8"/>
            <color indexed="10"/>
            <rFont val="Tahoma"/>
            <family val="2"/>
          </rPr>
          <t>2</t>
        </r>
        <r>
          <rPr>
            <b/>
            <sz val="8"/>
            <color indexed="81"/>
            <rFont val="Tahoma"/>
          </rPr>
          <t xml:space="preserve"> meses
Trimestral =</t>
        </r>
        <r>
          <rPr>
            <b/>
            <sz val="8"/>
            <color indexed="10"/>
            <rFont val="Tahoma"/>
            <family val="2"/>
          </rPr>
          <t xml:space="preserve"> 3</t>
        </r>
        <r>
          <rPr>
            <b/>
            <sz val="8"/>
            <color indexed="81"/>
            <rFont val="Tahoma"/>
          </rPr>
          <t xml:space="preserve"> meses
Semestral =</t>
        </r>
        <r>
          <rPr>
            <b/>
            <sz val="8"/>
            <color indexed="10"/>
            <rFont val="Tahoma"/>
            <family val="2"/>
          </rPr>
          <t xml:space="preserve"> 6</t>
        </r>
        <r>
          <rPr>
            <b/>
            <sz val="8"/>
            <color indexed="81"/>
            <rFont val="Tahoma"/>
          </rPr>
          <t xml:space="preserve"> meses
Anual = </t>
        </r>
        <r>
          <rPr>
            <b/>
            <sz val="8"/>
            <color indexed="10"/>
            <rFont val="Tahoma"/>
            <family val="2"/>
          </rPr>
          <t>12</t>
        </r>
        <r>
          <rPr>
            <b/>
            <sz val="8"/>
            <color indexed="81"/>
            <rFont val="Tahoma"/>
          </rPr>
          <t xml:space="preserve"> meses</t>
        </r>
        <r>
          <rPr>
            <sz val="8"/>
            <color indexed="81"/>
            <rFont val="Tahoma"/>
          </rPr>
          <t xml:space="preserve">
</t>
        </r>
      </text>
    </comment>
    <comment ref="G12" authorId="1">
      <text>
        <r>
          <rPr>
            <sz val="8"/>
            <color indexed="81"/>
            <rFont val="Tahoma"/>
            <family val="2"/>
          </rPr>
          <t xml:space="preserve">Inserir o valor </t>
        </r>
      </text>
    </comment>
  </commentList>
</comments>
</file>

<file path=xl/comments12.xml><?xml version="1.0" encoding="utf-8"?>
<comments xmlns="http://schemas.openxmlformats.org/spreadsheetml/2006/main">
  <authors>
    <author>Infraero</author>
  </authors>
  <commentList>
    <comment ref="I4" authorId="0">
      <text>
        <r>
          <rPr>
            <b/>
            <sz val="9"/>
            <color indexed="81"/>
            <rFont val="Tahoma"/>
            <family val="2"/>
          </rPr>
          <t>Percentuais estabelecidos conforme legislação vigente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Cassia</author>
  </authors>
  <commentList>
    <comment ref="D6" authorId="0">
      <text>
        <r>
          <rPr>
            <b/>
            <sz val="8"/>
            <color indexed="81"/>
            <rFont val="Tahoma"/>
          </rPr>
          <t xml:space="preserve">Bimestral = </t>
        </r>
        <r>
          <rPr>
            <b/>
            <sz val="8"/>
            <color indexed="10"/>
            <rFont val="Tahoma"/>
            <family val="2"/>
          </rPr>
          <t xml:space="preserve">2 </t>
        </r>
        <r>
          <rPr>
            <b/>
            <sz val="8"/>
            <color indexed="81"/>
            <rFont val="Tahoma"/>
          </rPr>
          <t xml:space="preserve">meses
Trimestral = </t>
        </r>
        <r>
          <rPr>
            <b/>
            <sz val="8"/>
            <color indexed="10"/>
            <rFont val="Tahoma"/>
            <family val="2"/>
          </rPr>
          <t>3</t>
        </r>
        <r>
          <rPr>
            <b/>
            <sz val="8"/>
            <color indexed="81"/>
            <rFont val="Tahoma"/>
          </rPr>
          <t xml:space="preserve"> meses
Semestral = </t>
        </r>
        <r>
          <rPr>
            <b/>
            <sz val="8"/>
            <color indexed="10"/>
            <rFont val="Tahoma"/>
            <family val="2"/>
          </rPr>
          <t>6</t>
        </r>
        <r>
          <rPr>
            <b/>
            <sz val="8"/>
            <color indexed="81"/>
            <rFont val="Tahoma"/>
          </rPr>
          <t xml:space="preserve"> meses
Anual = </t>
        </r>
        <r>
          <rPr>
            <b/>
            <sz val="8"/>
            <color indexed="10"/>
            <rFont val="Tahoma"/>
            <family val="2"/>
          </rPr>
          <t>12</t>
        </r>
        <r>
          <rPr>
            <b/>
            <sz val="8"/>
            <color indexed="81"/>
            <rFont val="Tahoma"/>
          </rPr>
          <t xml:space="preserve"> meses</t>
        </r>
        <r>
          <rPr>
            <sz val="8"/>
            <color indexed="81"/>
            <rFont val="Tahoma"/>
          </rPr>
          <t xml:space="preserve">
</t>
        </r>
      </text>
    </comment>
    <comment ref="G6" authorId="0">
      <text>
        <r>
          <rPr>
            <sz val="8"/>
            <color indexed="81"/>
            <rFont val="Tahoma"/>
          </rPr>
          <t xml:space="preserve">Inserir Total de Empregados (jornada Normal) + Empregados de Escala + Folguista de Escala (se houver)+ Folguista de Folga Agrupada (se houver)
</t>
        </r>
      </text>
    </comment>
    <comment ref="E11" authorId="0">
      <text>
        <r>
          <rPr>
            <b/>
            <sz val="8"/>
            <color indexed="81"/>
            <rFont val="Tahoma"/>
          </rPr>
          <t xml:space="preserve">Conforme estabelecido na  Convenção c/c a Cotação:
</t>
        </r>
        <r>
          <rPr>
            <b/>
            <sz val="8"/>
            <color indexed="81"/>
            <rFont val="Tahoma"/>
            <family val="2"/>
          </rPr>
          <t>12 = orçar a quantidade relativa ao ano;
6 = orçar a quantidade relativa ao semestre;
3 = orçar a quantidade relativa ao trimestre;
2 = orçar a quantidade relativa ao bimestre;</t>
        </r>
      </text>
    </comment>
  </commentList>
</comments>
</file>

<file path=xl/comments14.xml><?xml version="1.0" encoding="utf-8"?>
<comments xmlns="http://schemas.openxmlformats.org/spreadsheetml/2006/main">
  <authors>
    <author>I1074249</author>
  </authors>
  <commentList>
    <comment ref="C67" authorId="0">
      <text>
        <r>
          <rPr>
            <b/>
            <sz val="8"/>
            <color indexed="81"/>
            <rFont val="Tahoma"/>
          </rPr>
          <t>ET= Encargos Tributários
DA= Despesas Administrativas</t>
        </r>
        <r>
          <rPr>
            <sz val="8"/>
            <color indexed="81"/>
            <rFont val="Tahoma"/>
          </rPr>
          <t xml:space="preserve">
</t>
        </r>
      </text>
    </comment>
    <comment ref="C69" authorId="0">
      <text>
        <r>
          <rPr>
            <b/>
            <sz val="8"/>
            <color indexed="81"/>
            <rFont val="Tahoma"/>
          </rPr>
          <t>ET= Encargos Tributários
DA= Despesas Administrativas</t>
        </r>
        <r>
          <rPr>
            <sz val="8"/>
            <color indexed="81"/>
            <rFont val="Tahoma"/>
          </rPr>
          <t xml:space="preserve">
</t>
        </r>
      </text>
    </comment>
    <comment ref="C71" authorId="0">
      <text>
        <r>
          <rPr>
            <b/>
            <sz val="8"/>
            <color indexed="81"/>
            <rFont val="Tahoma"/>
          </rPr>
          <t>ET= Encargos Tributários
DA= Despesas Administrativas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I1074249</author>
    <author>Cassia</author>
  </authors>
  <commentList>
    <comment ref="G8" authorId="0">
      <text>
        <r>
          <rPr>
            <b/>
            <sz val="8"/>
            <color indexed="81"/>
            <rFont val="Tahoma"/>
          </rPr>
          <t>Valor global pora 12 meses</t>
        </r>
        <r>
          <rPr>
            <sz val="8"/>
            <color indexed="81"/>
            <rFont val="Tahoma"/>
          </rPr>
          <t xml:space="preserve">
</t>
        </r>
      </text>
    </comment>
    <comment ref="I8" authorId="0">
      <text>
        <r>
          <rPr>
            <b/>
            <sz val="8"/>
            <color indexed="81"/>
            <rFont val="Tahoma"/>
          </rPr>
          <t>Saldo a transportar da versão anterior.</t>
        </r>
      </text>
    </comment>
    <comment ref="L8" authorId="0">
      <text>
        <r>
          <rPr>
            <b/>
            <sz val="8"/>
            <color indexed="81"/>
            <rFont val="Tahoma"/>
          </rPr>
          <t>Total geral.</t>
        </r>
      </text>
    </comment>
    <comment ref="F145" authorId="1">
      <text>
        <r>
          <rPr>
            <b/>
            <sz val="8"/>
            <color indexed="81"/>
            <rFont val="Tahoma"/>
          </rPr>
          <t>O valor inserido não poderá ser superior ao total da Remuneração.</t>
        </r>
        <r>
          <rPr>
            <sz val="8"/>
            <color indexed="81"/>
            <rFont val="Tahoma"/>
          </rPr>
          <t xml:space="preserve">
</t>
        </r>
      </text>
    </comment>
    <comment ref="L145" authorId="0">
      <text>
        <r>
          <rPr>
            <b/>
            <sz val="8"/>
            <color indexed="81"/>
            <rFont val="Tahoma"/>
          </rPr>
          <t>Ver Nota n. 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I1074249</author>
    <author>Cassia</author>
  </authors>
  <commentList>
    <comment ref="G8" authorId="0">
      <text>
        <r>
          <rPr>
            <b/>
            <sz val="8"/>
            <color indexed="81"/>
            <rFont val="Tahoma"/>
          </rPr>
          <t>Valor global pora 12 meses</t>
        </r>
        <r>
          <rPr>
            <sz val="8"/>
            <color indexed="81"/>
            <rFont val="Tahoma"/>
          </rPr>
          <t xml:space="preserve">
</t>
        </r>
      </text>
    </comment>
    <comment ref="I8" authorId="0">
      <text>
        <r>
          <rPr>
            <b/>
            <sz val="8"/>
            <color indexed="81"/>
            <rFont val="Tahoma"/>
          </rPr>
          <t>Saldo a transportar da versão anterior.</t>
        </r>
      </text>
    </comment>
    <comment ref="L8" authorId="0">
      <text>
        <r>
          <rPr>
            <b/>
            <sz val="8"/>
            <color indexed="81"/>
            <rFont val="Tahoma"/>
          </rPr>
          <t>Total geral.</t>
        </r>
      </text>
    </comment>
    <comment ref="F145" authorId="1">
      <text>
        <r>
          <rPr>
            <b/>
            <sz val="8"/>
            <color indexed="81"/>
            <rFont val="Tahoma"/>
          </rPr>
          <t>O valor inserido não poderá ser superior ao total da Remuneração.</t>
        </r>
        <r>
          <rPr>
            <sz val="8"/>
            <color indexed="81"/>
            <rFont val="Tahoma"/>
          </rPr>
          <t xml:space="preserve">
</t>
        </r>
      </text>
    </comment>
    <comment ref="L145" authorId="0">
      <text>
        <r>
          <rPr>
            <b/>
            <sz val="8"/>
            <color indexed="81"/>
            <rFont val="Tahoma"/>
          </rPr>
          <t>Ver Nota n. 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Cassia</author>
  </authors>
  <commentList>
    <comment ref="G6" authorId="0">
      <text>
        <r>
          <rPr>
            <b/>
            <sz val="8"/>
            <color indexed="81"/>
            <rFont val="Tahoma"/>
          </rPr>
          <t>Lei Nº 9430/96 - IN  SRP 480/2004</t>
        </r>
        <r>
          <rPr>
            <sz val="8"/>
            <color indexed="81"/>
            <rFont val="Tahoma"/>
          </rPr>
          <t xml:space="preserve">
Código 6190 (4,8%) ou 6147 (1,2%)</t>
        </r>
      </text>
    </comment>
    <comment ref="G7" authorId="0">
      <text>
        <r>
          <rPr>
            <b/>
            <sz val="8"/>
            <color indexed="81"/>
            <rFont val="Tahoma"/>
          </rPr>
          <t xml:space="preserve">ISS retido conforme Lei Municipal
</t>
        </r>
      </text>
    </comment>
    <comment ref="G8" authorId="0">
      <text>
        <r>
          <rPr>
            <b/>
            <sz val="8"/>
            <color indexed="81"/>
            <rFont val="Tahoma"/>
          </rPr>
          <t>Lei Nº 9430/96 - IN  SRP 480/2004</t>
        </r>
        <r>
          <rPr>
            <sz val="8"/>
            <color indexed="81"/>
            <rFont val="Tahoma"/>
          </rPr>
          <t xml:space="preserve">
Código 6190 e 6147</t>
        </r>
      </text>
    </comment>
    <comment ref="O8" authorId="0">
      <text>
        <r>
          <rPr>
            <b/>
            <sz val="8"/>
            <color indexed="81"/>
            <rFont val="Tahoma"/>
          </rPr>
          <t>Lei nº 10637/02</t>
        </r>
      </text>
    </comment>
    <comment ref="G9" authorId="0">
      <text>
        <r>
          <rPr>
            <b/>
            <sz val="8"/>
            <color indexed="81"/>
            <rFont val="Tahoma"/>
          </rPr>
          <t>Lei Nº 9430/96 - IN  SRP 480/2004</t>
        </r>
        <r>
          <rPr>
            <sz val="8"/>
            <color indexed="81"/>
            <rFont val="Tahoma"/>
          </rPr>
          <t xml:space="preserve">
Código 6190 ou 6147</t>
        </r>
      </text>
    </comment>
    <comment ref="O9" authorId="0">
      <text>
        <r>
          <rPr>
            <b/>
            <sz val="8"/>
            <color indexed="81"/>
            <rFont val="Tahoma"/>
          </rPr>
          <t xml:space="preserve">Lei nº 10833/04
</t>
        </r>
      </text>
    </comment>
    <comment ref="G10" authorId="0">
      <text>
        <r>
          <rPr>
            <b/>
            <sz val="8"/>
            <color indexed="81"/>
            <rFont val="Tahoma"/>
          </rPr>
          <t>Lei Nº 9430/96 - IN  SRP 480/2004</t>
        </r>
        <r>
          <rPr>
            <sz val="8"/>
            <color indexed="81"/>
            <rFont val="Tahoma"/>
          </rPr>
          <t xml:space="preserve">
Código 6190 ou 6147
</t>
        </r>
      </text>
    </comment>
    <comment ref="O10" authorId="0">
      <text>
        <r>
          <rPr>
            <b/>
            <sz val="8"/>
            <color indexed="81"/>
            <rFont val="Tahoma"/>
          </rPr>
          <t xml:space="preserve">ISS retido conforme Lei Municipal
</t>
        </r>
      </text>
    </comment>
    <comment ref="G11" authorId="0">
      <text>
        <r>
          <rPr>
            <b/>
            <sz val="8"/>
            <color indexed="81"/>
            <rFont val="Tahoma"/>
          </rPr>
          <t>Retenção de 11%</t>
        </r>
        <r>
          <rPr>
            <sz val="8"/>
            <color indexed="81"/>
            <rFont val="Tahoma"/>
          </rPr>
          <t xml:space="preserve">
art. 31 da Lei nº 8.212/91</t>
        </r>
      </text>
    </comment>
    <comment ref="G14" authorId="0">
      <text>
        <r>
          <rPr>
            <sz val="8"/>
            <color indexed="81"/>
            <rFont val="Tahoma"/>
          </rPr>
          <t xml:space="preserve">Lei nº 9.539/97
</t>
        </r>
      </text>
    </comment>
    <comment ref="E17" authorId="0">
      <text>
        <r>
          <rPr>
            <b/>
            <sz val="8"/>
            <color indexed="81"/>
            <rFont val="Tahoma"/>
          </rPr>
          <t>Valor Apurado do Grupo A - Inss Retido na NF, conforme § 1º  do art. 31 da Lei nº 8212/91</t>
        </r>
      </text>
    </comment>
    <comment ref="G18" authorId="0">
      <text>
        <r>
          <rPr>
            <sz val="8"/>
            <color indexed="81"/>
            <rFont val="Tahoma"/>
          </rPr>
          <t xml:space="preserve">Percentual usado por estimativa (TCU, STF)
</t>
        </r>
      </text>
    </comment>
    <comment ref="O18" authorId="0">
      <text>
        <r>
          <rPr>
            <b/>
            <sz val="8"/>
            <color indexed="81"/>
            <rFont val="Tahoma"/>
          </rPr>
          <t>Art. 228 do Decreto 3000/99 - RIR/99</t>
        </r>
        <r>
          <rPr>
            <sz val="8"/>
            <color indexed="81"/>
            <rFont val="Tahoma"/>
          </rPr>
          <t xml:space="preserve">
</t>
        </r>
      </text>
    </comment>
    <comment ref="O19" authorId="0">
      <text>
        <r>
          <rPr>
            <b/>
            <sz val="8"/>
            <color indexed="81"/>
            <rFont val="Tahoma"/>
          </rPr>
          <t xml:space="preserve"> art. 228 do Decreto 3000/99, atualizado pela Lei 9430/96,(RIR/99 - Regulamento do Imposto de Renda)</t>
        </r>
        <r>
          <rPr>
            <sz val="8"/>
            <color indexed="81"/>
            <rFont val="Tahoma"/>
          </rPr>
          <t xml:space="preserve">
</t>
        </r>
      </text>
    </comment>
    <comment ref="O20" authorId="0">
      <text>
        <r>
          <rPr>
            <b/>
            <sz val="8"/>
            <color indexed="81"/>
            <rFont val="Tahoma"/>
          </rPr>
          <t>artigo 37 da Lei nº 10.637/02</t>
        </r>
        <r>
          <rPr>
            <sz val="8"/>
            <color indexed="81"/>
            <rFont val="Tahoma"/>
          </rPr>
          <t xml:space="preserve">
</t>
        </r>
      </text>
    </comment>
    <comment ref="G31" authorId="0">
      <text>
        <r>
          <rPr>
            <b/>
            <sz val="8"/>
            <color indexed="81"/>
            <rFont val="Tahoma"/>
          </rPr>
          <t>Lei Nº 9430/96 - IN  SRP 480/2004</t>
        </r>
        <r>
          <rPr>
            <sz val="8"/>
            <color indexed="81"/>
            <rFont val="Tahoma"/>
          </rPr>
          <t xml:space="preserve">
Código 6190</t>
        </r>
      </text>
    </comment>
    <comment ref="G32" authorId="0">
      <text>
        <r>
          <rPr>
            <b/>
            <sz val="8"/>
            <color indexed="81"/>
            <rFont val="Tahoma"/>
          </rPr>
          <t xml:space="preserve">ISS retido conforme Lei Municipal
</t>
        </r>
      </text>
    </comment>
    <comment ref="G33" authorId="0">
      <text>
        <r>
          <rPr>
            <b/>
            <sz val="8"/>
            <color indexed="81"/>
            <rFont val="Tahoma"/>
          </rPr>
          <t>Lei Nº 9430/96 - IN  SRP 480/2004</t>
        </r>
        <r>
          <rPr>
            <sz val="8"/>
            <color indexed="81"/>
            <rFont val="Tahoma"/>
          </rPr>
          <t xml:space="preserve">
Código 6190</t>
        </r>
      </text>
    </comment>
    <comment ref="O33" authorId="0">
      <text>
        <r>
          <rPr>
            <b/>
            <sz val="8"/>
            <color indexed="81"/>
            <rFont val="Tahoma"/>
          </rPr>
          <t>Lei nº 10637/02</t>
        </r>
      </text>
    </comment>
    <comment ref="G34" authorId="0">
      <text>
        <r>
          <rPr>
            <b/>
            <sz val="8"/>
            <color indexed="81"/>
            <rFont val="Tahoma"/>
          </rPr>
          <t>Lei Nº 9430/96 - IN  SRP 480/2004</t>
        </r>
        <r>
          <rPr>
            <sz val="8"/>
            <color indexed="81"/>
            <rFont val="Tahoma"/>
          </rPr>
          <t xml:space="preserve">
Código 6190</t>
        </r>
      </text>
    </comment>
    <comment ref="O34" authorId="0">
      <text>
        <r>
          <rPr>
            <b/>
            <sz val="8"/>
            <color indexed="81"/>
            <rFont val="Tahoma"/>
          </rPr>
          <t xml:space="preserve">Lei nº 10833/04
</t>
        </r>
      </text>
    </comment>
    <comment ref="G35" authorId="0">
      <text>
        <r>
          <rPr>
            <b/>
            <sz val="8"/>
            <color indexed="81"/>
            <rFont val="Tahoma"/>
          </rPr>
          <t>Lei Nº 9430/96 - IN  SRP 480/2004</t>
        </r>
        <r>
          <rPr>
            <sz val="8"/>
            <color indexed="81"/>
            <rFont val="Tahoma"/>
          </rPr>
          <t xml:space="preserve">
Código 6190</t>
        </r>
      </text>
    </comment>
    <comment ref="O35" authorId="0">
      <text>
        <r>
          <rPr>
            <b/>
            <sz val="8"/>
            <color indexed="81"/>
            <rFont val="Tahoma"/>
          </rPr>
          <t xml:space="preserve">ISS retido conforme Lei Municipal
</t>
        </r>
      </text>
    </comment>
    <comment ref="G36" authorId="0">
      <text>
        <r>
          <rPr>
            <b/>
            <sz val="8"/>
            <color indexed="81"/>
            <rFont val="Tahoma"/>
          </rPr>
          <t>Retenção de 11%</t>
        </r>
        <r>
          <rPr>
            <sz val="8"/>
            <color indexed="81"/>
            <rFont val="Tahoma"/>
          </rPr>
          <t xml:space="preserve">
art. 31 da Lei nº 8.212/91</t>
        </r>
      </text>
    </comment>
    <comment ref="G39" authorId="0">
      <text>
        <r>
          <rPr>
            <sz val="8"/>
            <color indexed="81"/>
            <rFont val="Tahoma"/>
          </rPr>
          <t xml:space="preserve">Lei nº 9.539/97
</t>
        </r>
      </text>
    </comment>
    <comment ref="E42" authorId="0">
      <text>
        <r>
          <rPr>
            <b/>
            <sz val="8"/>
            <color indexed="81"/>
            <rFont val="Tahoma"/>
          </rPr>
          <t>Valor Apurado do Grupo A - Inss Retido na NF, conforme § 1º  do art. 31 da Lei nº 8212/91</t>
        </r>
      </text>
    </comment>
    <comment ref="G43" authorId="0">
      <text>
        <r>
          <rPr>
            <sz val="8"/>
            <color indexed="81"/>
            <rFont val="Tahoma"/>
          </rPr>
          <t xml:space="preserve">Percentual usado por estimativa (TCU, STF)
</t>
        </r>
      </text>
    </comment>
    <comment ref="O43" authorId="0">
      <text>
        <r>
          <rPr>
            <b/>
            <sz val="8"/>
            <color indexed="81"/>
            <rFont val="Tahoma"/>
          </rPr>
          <t>Art. 228 do Decreto 3000/99 - RIR/99</t>
        </r>
        <r>
          <rPr>
            <sz val="8"/>
            <color indexed="81"/>
            <rFont val="Tahoma"/>
          </rPr>
          <t xml:space="preserve">
</t>
        </r>
      </text>
    </comment>
    <comment ref="O44" authorId="0">
      <text>
        <r>
          <rPr>
            <b/>
            <sz val="8"/>
            <color indexed="81"/>
            <rFont val="Tahoma"/>
          </rPr>
          <t xml:space="preserve"> art. 228 do Decreto 3000/99, atualizado pela Lei 9430/96,(RIR/99 - Regulamento do Imposto de Renda)</t>
        </r>
        <r>
          <rPr>
            <sz val="8"/>
            <color indexed="81"/>
            <rFont val="Tahoma"/>
          </rPr>
          <t xml:space="preserve">
</t>
        </r>
      </text>
    </comment>
    <comment ref="O45" authorId="0">
      <text>
        <r>
          <rPr>
            <b/>
            <sz val="8"/>
            <color indexed="81"/>
            <rFont val="Tahoma"/>
          </rPr>
          <t>artigo 37 da Lei nº 10.637/02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I1074249</author>
    <author>Cassia</author>
    <author>infra</author>
    <author>Infraero</author>
  </authors>
  <commentList>
    <comment ref="K6" authorId="0">
      <text>
        <r>
          <rPr>
            <b/>
            <sz val="8"/>
            <color indexed="81"/>
            <rFont val="Tahoma"/>
            <family val="2"/>
          </rPr>
          <t xml:space="preserve">Mínimo de 20% ou conforme Acordo Coletivo </t>
        </r>
      </text>
    </comment>
    <comment ref="O6" authorId="1">
      <text>
        <r>
          <rPr>
            <b/>
            <sz val="8"/>
            <color indexed="81"/>
            <rFont val="Tahoma"/>
          </rPr>
          <t>Adicional usado apenas quando previsto em Convenção</t>
        </r>
        <r>
          <rPr>
            <sz val="8"/>
            <color indexed="81"/>
            <rFont val="Tahoma"/>
          </rPr>
          <t xml:space="preserve">
</t>
        </r>
      </text>
    </comment>
    <comment ref="BC6" authorId="2">
      <text>
        <r>
          <rPr>
            <sz val="8"/>
            <color indexed="81"/>
            <rFont val="Tahoma"/>
          </rPr>
          <t>Adicional incidente sobre o total da remuneração</t>
        </r>
      </text>
    </comment>
    <comment ref="K8" authorId="0">
      <text>
        <r>
          <rPr>
            <b/>
            <sz val="8"/>
            <color indexed="81"/>
            <rFont val="Tahoma"/>
            <family val="2"/>
          </rPr>
          <t>Preencher apenas se houver Previsão em Convenção.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4 Domingos</t>
        </r>
        <r>
          <rPr>
            <sz val="8"/>
            <color indexed="81"/>
            <rFont val="Tahoma"/>
            <family val="2"/>
          </rPr>
          <t xml:space="preserve"> + </t>
        </r>
        <r>
          <rPr>
            <b/>
            <sz val="8"/>
            <color indexed="81"/>
            <rFont val="Tahoma"/>
            <family val="2"/>
          </rPr>
          <t xml:space="preserve">1 Feriado = </t>
        </r>
        <r>
          <rPr>
            <b/>
            <sz val="8"/>
            <color indexed="10"/>
            <rFont val="Tahoma"/>
            <family val="2"/>
          </rPr>
          <t>5</t>
        </r>
        <r>
          <rPr>
            <b/>
            <sz val="8"/>
            <color indexed="81"/>
            <rFont val="Tahoma"/>
            <family val="2"/>
          </rPr>
          <t xml:space="preserve"> dias</t>
        </r>
      </text>
    </comment>
    <comment ref="O8" authorId="1">
      <text>
        <r>
          <rPr>
            <b/>
            <sz val="8"/>
            <color indexed="81"/>
            <rFont val="Tahoma"/>
          </rPr>
          <t>Adicional usado apenas quando previsto em Convenção</t>
        </r>
        <r>
          <rPr>
            <sz val="8"/>
            <color indexed="81"/>
            <rFont val="Tahoma"/>
          </rPr>
          <t xml:space="preserve">
</t>
        </r>
      </text>
    </comment>
    <comment ref="E10" authorId="1">
      <text>
        <r>
          <rPr>
            <b/>
            <sz val="8"/>
            <color indexed="81"/>
            <rFont val="Tahoma"/>
            <family val="2"/>
          </rPr>
          <t xml:space="preserve">1 empregado = 1 posto
</t>
        </r>
      </text>
    </comment>
    <comment ref="AO10" authorId="0">
      <text>
        <r>
          <rPr>
            <b/>
            <sz val="8"/>
            <color indexed="81"/>
            <rFont val="Tahoma"/>
          </rPr>
          <t>Pagamento condicionado a Acordo Coletivo</t>
        </r>
        <r>
          <rPr>
            <sz val="8"/>
            <color indexed="81"/>
            <rFont val="Tahoma"/>
          </rPr>
          <t xml:space="preserve">
</t>
        </r>
      </text>
    </comment>
    <comment ref="AS10" authorId="1">
      <text>
        <r>
          <rPr>
            <b/>
            <sz val="8"/>
            <color indexed="81"/>
            <rFont val="Tahoma"/>
          </rPr>
          <t xml:space="preserve">Preencher apenas para </t>
        </r>
        <r>
          <rPr>
            <b/>
            <sz val="8"/>
            <color indexed="10"/>
            <rFont val="Tahoma"/>
            <family val="2"/>
          </rPr>
          <t>ESCALA</t>
        </r>
        <r>
          <rPr>
            <b/>
            <sz val="8"/>
            <color indexed="81"/>
            <rFont val="Tahoma"/>
          </rPr>
          <t xml:space="preserve"> (</t>
        </r>
        <r>
          <rPr>
            <b/>
            <sz val="8"/>
            <color indexed="10"/>
            <rFont val="Tahoma"/>
            <family val="2"/>
          </rPr>
          <t>com Folguista</t>
        </r>
        <r>
          <rPr>
            <b/>
            <sz val="8"/>
            <color indexed="81"/>
            <rFont val="Tahoma"/>
          </rPr>
          <t>)</t>
        </r>
        <r>
          <rPr>
            <sz val="8"/>
            <color indexed="81"/>
            <rFont val="Tahoma"/>
          </rPr>
          <t xml:space="preserve">
</t>
        </r>
      </text>
    </comment>
    <comment ref="B13" authorId="2">
      <text>
        <r>
          <rPr>
            <sz val="8"/>
            <color indexed="81"/>
            <rFont val="Tahoma"/>
          </rPr>
          <t xml:space="preserve">As linhas e colunas desnecessárias podem ser ocultadas.
</t>
        </r>
        <r>
          <rPr>
            <sz val="8"/>
            <color indexed="10"/>
            <rFont val="Tahoma"/>
            <family val="2"/>
          </rPr>
          <t>Atenção: As linhas e colunas ocultadas devem estar sem dados.</t>
        </r>
      </text>
    </comment>
    <comment ref="G13" authorId="0">
      <text>
        <r>
          <rPr>
            <b/>
            <sz val="8"/>
            <color indexed="81"/>
            <rFont val="Tahoma"/>
          </rPr>
          <t xml:space="preserve">a) Empregados que trabalham no </t>
        </r>
        <r>
          <rPr>
            <b/>
            <u/>
            <sz val="8"/>
            <color indexed="81"/>
            <rFont val="Tahoma"/>
            <family val="2"/>
          </rPr>
          <t>expediente</t>
        </r>
        <r>
          <rPr>
            <b/>
            <sz val="8"/>
            <color indexed="81"/>
            <rFont val="Tahoma"/>
          </rPr>
          <t xml:space="preserve"> (</t>
        </r>
        <r>
          <rPr>
            <b/>
            <sz val="8"/>
            <color indexed="10"/>
            <rFont val="Tahoma"/>
            <family val="2"/>
          </rPr>
          <t>Segunda a Sexta</t>
        </r>
        <r>
          <rPr>
            <b/>
            <sz val="8"/>
            <color indexed="81"/>
            <rFont val="Tahoma"/>
          </rPr>
          <t xml:space="preserve">) informar </t>
        </r>
        <r>
          <rPr>
            <b/>
            <sz val="8"/>
            <color indexed="10"/>
            <rFont val="Tahoma"/>
            <family val="2"/>
          </rPr>
          <t>21</t>
        </r>
        <r>
          <rPr>
            <b/>
            <sz val="8"/>
            <color indexed="81"/>
            <rFont val="Tahoma"/>
          </rPr>
          <t xml:space="preserve"> dias.
b) Empregados que trabalham no </t>
        </r>
        <r>
          <rPr>
            <b/>
            <u/>
            <sz val="8"/>
            <color indexed="81"/>
            <rFont val="Tahoma"/>
            <family val="2"/>
          </rPr>
          <t>expediente</t>
        </r>
        <r>
          <rPr>
            <b/>
            <sz val="8"/>
            <color indexed="81"/>
            <rFont val="Tahoma"/>
          </rPr>
          <t xml:space="preserve"> (</t>
        </r>
        <r>
          <rPr>
            <b/>
            <sz val="8"/>
            <color indexed="10"/>
            <rFont val="Tahoma"/>
            <family val="2"/>
          </rPr>
          <t>Segunda a Sábado</t>
        </r>
        <r>
          <rPr>
            <b/>
            <sz val="8"/>
            <color indexed="81"/>
            <rFont val="Tahoma"/>
          </rPr>
          <t xml:space="preserve">) informar </t>
        </r>
        <r>
          <rPr>
            <b/>
            <sz val="8"/>
            <color indexed="10"/>
            <rFont val="Tahoma"/>
            <family val="2"/>
          </rPr>
          <t>25</t>
        </r>
        <r>
          <rPr>
            <b/>
            <sz val="8"/>
            <color indexed="81"/>
            <rFont val="Tahoma"/>
          </rPr>
          <t xml:space="preserve"> dias .
c) Empregados que trabalham no </t>
        </r>
        <r>
          <rPr>
            <b/>
            <u/>
            <sz val="8"/>
            <color indexed="81"/>
            <rFont val="Tahoma"/>
            <family val="2"/>
          </rPr>
          <t xml:space="preserve">Escala de Revezamento </t>
        </r>
        <r>
          <rPr>
            <b/>
            <sz val="8"/>
            <color indexed="81"/>
            <rFont val="Tahoma"/>
          </rPr>
          <t>(</t>
        </r>
        <r>
          <rPr>
            <b/>
            <sz val="8"/>
            <color indexed="10"/>
            <rFont val="Tahoma"/>
            <family val="2"/>
          </rPr>
          <t>com folguista</t>
        </r>
        <r>
          <rPr>
            <b/>
            <sz val="8"/>
            <color indexed="81"/>
            <rFont val="Tahoma"/>
          </rPr>
          <t>) informar</t>
        </r>
        <r>
          <rPr>
            <b/>
            <sz val="8"/>
            <color indexed="10"/>
            <rFont val="Tahoma"/>
            <family val="2"/>
          </rPr>
          <t xml:space="preserve"> 30</t>
        </r>
        <r>
          <rPr>
            <b/>
            <sz val="8"/>
            <color indexed="81"/>
            <rFont val="Tahoma"/>
          </rPr>
          <t xml:space="preserve"> dias .
d) Empregados que trabalham na </t>
        </r>
        <r>
          <rPr>
            <b/>
            <u/>
            <sz val="8"/>
            <color indexed="81"/>
            <rFont val="Tahoma"/>
            <family val="2"/>
          </rPr>
          <t>Escala de Revezamento</t>
        </r>
        <r>
          <rPr>
            <b/>
            <sz val="8"/>
            <color indexed="81"/>
            <rFont val="Tahoma"/>
          </rPr>
          <t xml:space="preserve"> (</t>
        </r>
        <r>
          <rPr>
            <b/>
            <sz val="8"/>
            <color indexed="10"/>
            <rFont val="Tahoma"/>
            <family val="2"/>
          </rPr>
          <t>sem folguista</t>
        </r>
        <r>
          <rPr>
            <b/>
            <sz val="8"/>
            <color indexed="81"/>
            <rFont val="Tahoma"/>
          </rPr>
          <t xml:space="preserve">) informar os dias trabalhados, por exemplo:
3 x 1 = </t>
        </r>
        <r>
          <rPr>
            <b/>
            <sz val="8"/>
            <color indexed="10"/>
            <rFont val="Tahoma"/>
            <family val="2"/>
          </rPr>
          <t>23</t>
        </r>
        <r>
          <rPr>
            <b/>
            <sz val="8"/>
            <color indexed="81"/>
            <rFont val="Tahoma"/>
          </rPr>
          <t xml:space="preserve"> dias 
4 x 1 = </t>
        </r>
        <r>
          <rPr>
            <b/>
            <sz val="8"/>
            <color indexed="10"/>
            <rFont val="Tahoma"/>
            <family val="2"/>
          </rPr>
          <t>24</t>
        </r>
        <r>
          <rPr>
            <b/>
            <sz val="8"/>
            <color indexed="81"/>
            <rFont val="Tahoma"/>
          </rPr>
          <t xml:space="preserve"> dias
5 x 1 = </t>
        </r>
        <r>
          <rPr>
            <b/>
            <sz val="8"/>
            <color indexed="10"/>
            <rFont val="Tahoma"/>
            <family val="2"/>
          </rPr>
          <t>25</t>
        </r>
        <r>
          <rPr>
            <b/>
            <sz val="8"/>
            <color indexed="81"/>
            <rFont val="Tahoma"/>
          </rPr>
          <t xml:space="preserve"> dias
6 x 1 = </t>
        </r>
        <r>
          <rPr>
            <b/>
            <sz val="8"/>
            <color indexed="10"/>
            <rFont val="Tahoma"/>
            <family val="2"/>
          </rPr>
          <t>26</t>
        </r>
        <r>
          <rPr>
            <b/>
            <sz val="8"/>
            <color indexed="81"/>
            <rFont val="Tahoma"/>
          </rPr>
          <t xml:space="preserve"> dias
3 x 2 = </t>
        </r>
        <r>
          <rPr>
            <b/>
            <sz val="8"/>
            <color indexed="10"/>
            <rFont val="Tahoma"/>
            <family val="2"/>
          </rPr>
          <t>18</t>
        </r>
        <r>
          <rPr>
            <b/>
            <sz val="8"/>
            <color indexed="81"/>
            <rFont val="Tahoma"/>
          </rPr>
          <t xml:space="preserve"> dias
12 x 36 ou 1 x 1 = </t>
        </r>
        <r>
          <rPr>
            <b/>
            <sz val="8"/>
            <color indexed="10"/>
            <rFont val="Tahoma"/>
            <family val="2"/>
          </rPr>
          <t>15</t>
        </r>
        <r>
          <rPr>
            <b/>
            <sz val="8"/>
            <color indexed="81"/>
            <rFont val="Tahoma"/>
          </rPr>
          <t xml:space="preserve"> dias .
</t>
        </r>
        <r>
          <rPr>
            <b/>
            <sz val="8"/>
            <color indexed="10"/>
            <rFont val="Tahoma"/>
            <family val="2"/>
          </rPr>
          <t>Ver cálculos no final dessa planilha.</t>
        </r>
        <r>
          <rPr>
            <sz val="8"/>
            <color indexed="81"/>
            <rFont val="Tahoma"/>
          </rPr>
          <t xml:space="preserve">
</t>
        </r>
      </text>
    </comment>
    <comment ref="I13" authorId="0">
      <text>
        <r>
          <rPr>
            <b/>
            <sz val="8"/>
            <color indexed="81"/>
            <rFont val="Tahoma"/>
          </rPr>
          <t>Digitar= hh:mm</t>
        </r>
        <r>
          <rPr>
            <sz val="8"/>
            <color indexed="81"/>
            <rFont val="Tahoma"/>
          </rPr>
          <t xml:space="preserve">
</t>
        </r>
      </text>
    </comment>
    <comment ref="M13" authorId="1">
      <text>
        <r>
          <rPr>
            <b/>
            <sz val="8"/>
            <color indexed="81"/>
            <rFont val="Tahoma"/>
          </rPr>
          <t xml:space="preserve">a) Base de cálculo Jornada Normal (expediente):
</t>
        </r>
        <r>
          <rPr>
            <b/>
            <sz val="8"/>
            <color indexed="10"/>
            <rFont val="Tahoma"/>
            <family val="2"/>
          </rPr>
          <t>220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b) Base de cálculo Jornada Revezamento (Escala):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10"/>
            <rFont val="Tahoma"/>
            <family val="2"/>
          </rPr>
          <t>180</t>
        </r>
        <r>
          <rPr>
            <sz val="8"/>
            <color indexed="81"/>
            <rFont val="Tahoma"/>
          </rPr>
          <t xml:space="preserve"> 
</t>
        </r>
        <r>
          <rPr>
            <sz val="8"/>
            <color indexed="81"/>
            <rFont val="Tahoma"/>
          </rPr>
          <t xml:space="preserve">
</t>
        </r>
      </text>
    </comment>
    <comment ref="O13" authorId="1">
      <text>
        <r>
          <rPr>
            <b/>
            <sz val="8"/>
            <color indexed="81"/>
            <rFont val="Tahoma"/>
            <family val="2"/>
          </rPr>
          <t xml:space="preserve">Deverá ser diferente </t>
        </r>
        <r>
          <rPr>
            <b/>
            <sz val="8"/>
            <color indexed="10"/>
            <rFont val="Tahoma"/>
            <family val="2"/>
          </rPr>
          <t>somente</t>
        </r>
        <r>
          <rPr>
            <b/>
            <sz val="8"/>
            <color indexed="81"/>
            <rFont val="Tahoma"/>
            <family val="2"/>
          </rPr>
          <t xml:space="preserve"> se houver contratação </t>
        </r>
        <r>
          <rPr>
            <b/>
            <sz val="8"/>
            <color indexed="10"/>
            <rFont val="Tahoma"/>
            <family val="2"/>
          </rPr>
          <t xml:space="preserve">por hora </t>
        </r>
        <r>
          <rPr>
            <b/>
            <sz val="8"/>
            <color indexed="81"/>
            <rFont val="Tahoma"/>
            <family val="2"/>
          </rPr>
          <t xml:space="preserve">ou </t>
        </r>
        <r>
          <rPr>
            <b/>
            <sz val="8"/>
            <color indexed="10"/>
            <rFont val="Tahoma"/>
            <family val="2"/>
          </rPr>
          <t>fracionada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</rPr>
          <t xml:space="preserve">
</t>
        </r>
      </text>
    </comment>
    <comment ref="Q13" authorId="0">
      <text>
        <r>
          <rPr>
            <b/>
            <sz val="8"/>
            <color indexed="81"/>
            <rFont val="Tahoma"/>
          </rPr>
          <t>Campo numérico.</t>
        </r>
        <r>
          <rPr>
            <sz val="8"/>
            <color indexed="81"/>
            <rFont val="Tahoma"/>
          </rPr>
          <t xml:space="preserve">
Ex.: 00:20 inserir 0,30
        01:30 inserir 1,50
Deverá ser preenchido apenas horas correspondentes "Relógio" a Hora Reduzida será calculado no Adicional da Coluna 16.
</t>
        </r>
        <r>
          <rPr>
            <sz val="8"/>
            <color indexed="81"/>
            <rFont val="Tahoma"/>
          </rPr>
          <t xml:space="preserve">
</t>
        </r>
      </text>
    </comment>
    <comment ref="W13" authorId="0">
      <text>
        <r>
          <rPr>
            <b/>
            <sz val="8"/>
            <color indexed="81"/>
            <rFont val="Tahoma"/>
          </rPr>
          <t xml:space="preserve">Inserir o Valor :
Sálario estabelecido em lei ou em normativo coletivo de trabalho.
</t>
        </r>
        <r>
          <rPr>
            <sz val="8"/>
            <color indexed="81"/>
            <rFont val="Tahoma"/>
          </rPr>
          <t xml:space="preserve">
</t>
        </r>
      </text>
    </comment>
    <comment ref="Y13" authorId="0">
      <text>
        <r>
          <rPr>
            <b/>
            <sz val="10"/>
            <color indexed="81"/>
            <rFont val="Tahoma"/>
            <family val="2"/>
          </rPr>
          <t>I</t>
        </r>
        <r>
          <rPr>
            <b/>
            <sz val="8"/>
            <color indexed="81"/>
            <rFont val="Tahoma"/>
          </rPr>
          <t xml:space="preserve"> = 10%, 20% ou 40%
</t>
        </r>
        <r>
          <rPr>
            <b/>
            <sz val="10"/>
            <color indexed="81"/>
            <rFont val="Tahoma"/>
            <family val="2"/>
          </rPr>
          <t xml:space="preserve">P </t>
        </r>
        <r>
          <rPr>
            <b/>
            <sz val="8"/>
            <color indexed="81"/>
            <rFont val="Tahoma"/>
          </rPr>
          <t>= 30%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R = Conforme CCT/ACT</t>
        </r>
      </text>
    </comment>
    <comment ref="AA13" authorId="0">
      <text>
        <r>
          <rPr>
            <b/>
            <sz val="8"/>
            <color indexed="81"/>
            <rFont val="Tahoma"/>
          </rPr>
          <t>P= Periculosidade
I= Insalubridade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R = Risco de Vida</t>
        </r>
      </text>
    </comment>
    <comment ref="AC13" authorId="0">
      <text>
        <r>
          <rPr>
            <b/>
            <sz val="8"/>
            <color indexed="81"/>
            <rFont val="Tahoma"/>
          </rPr>
          <t>Pagamento Condicionado ao Laudo Técnico Pericial.</t>
        </r>
        <r>
          <rPr>
            <b/>
            <sz val="8"/>
            <color indexed="81"/>
            <rFont val="Tahoma"/>
            <family val="2"/>
          </rPr>
          <t xml:space="preserve">
Ou Normativo Trabalhista</t>
        </r>
      </text>
    </comment>
    <comment ref="AG13" authorId="3">
      <text>
        <r>
          <rPr>
            <b/>
            <sz val="9"/>
            <color indexed="81"/>
            <rFont val="Tahoma"/>
            <charset val="1"/>
          </rPr>
          <t>Infraero:</t>
        </r>
        <r>
          <rPr>
            <sz val="9"/>
            <color indexed="81"/>
            <rFont val="Tahoma"/>
            <charset val="1"/>
          </rPr>
          <t xml:space="preserve">
22 às 5 = 7 horas noturnas ou 7,9996 horas noturnas reduzidas
5 às 7 = 2 horas noturnas ou 2,2856 horas Noturnas reduzidas
7 horas noturnas + 2 horas noturnas - 1 hora de descanso = 8 horas de relogio
7,9996 + 2,2856 - 1 hora descanso= 9,2852
52 semanas / 12 meses = 4,3333
9,2852 x 3 dias = 27,8556 
9,2852 x 4 dias = 37,1408
27,8556 + 37,1408 = 64,9964/2 = 32,4982 x 4,3333 = 140,8244 horas noturnas reduzidas 
140,8244 x R$ 2,00 (883,26/220 x 50%) = R$ 281,65 (Exemplo para 15 dias jornada 12x36 de 19 horas às 7 horas))
140,8244/15 dias = 9,3882933 horas noturnas reduzidas por dia /8 horas =  </t>
        </r>
        <r>
          <rPr>
            <b/>
            <sz val="9"/>
            <color indexed="81"/>
            <rFont val="Tahoma"/>
            <family val="2"/>
          </rPr>
          <t>1,173537 fator a ser usado</t>
        </r>
        <r>
          <rPr>
            <sz val="9"/>
            <color indexed="81"/>
            <rFont val="Tahoma"/>
            <charset val="1"/>
          </rPr>
          <t xml:space="preserve">
Cálculo de Adicional Noturno estabelecido pelo Parecer Jurídico nº 696/DJCN/2012, de 11/07/2012.</t>
        </r>
      </text>
    </comment>
    <comment ref="AK13" authorId="1">
      <text>
        <r>
          <rPr>
            <b/>
            <sz val="8"/>
            <color indexed="81"/>
            <rFont val="Tahoma"/>
          </rPr>
          <t xml:space="preserve">Cálculo:
[(Salário + Adicionais)/Base de cálculo ] x Adicional Noturno = ADH
ADH x dias Trabalhados x horas Noturnas diárias = </t>
        </r>
        <r>
          <rPr>
            <b/>
            <sz val="8"/>
            <color indexed="10"/>
            <rFont val="Tahoma"/>
            <family val="2"/>
          </rPr>
          <t xml:space="preserve">Adicional Noturno Mensal
</t>
        </r>
        <r>
          <rPr>
            <b/>
            <sz val="8"/>
            <color indexed="81"/>
            <rFont val="Tahoma"/>
            <family val="2"/>
          </rPr>
          <t xml:space="preserve">Por exemplo:
(R$ 883,26/ 220 ) x 50% = R$ 2,00 
140,8244 horas noturnas  x R$ 2,00 = R$ 281,65
</t>
        </r>
        <r>
          <rPr>
            <b/>
            <sz val="8"/>
            <color indexed="10"/>
            <rFont val="Tahoma"/>
            <family val="2"/>
          </rPr>
          <t xml:space="preserve">Adicional Noturno = R$ 281,65
Cálculo estabelecido no Parercer Jurídico 696/DJCN/2012, de 11/07/2012
</t>
        </r>
        <r>
          <rPr>
            <sz val="8"/>
            <color indexed="81"/>
            <rFont val="Tahoma"/>
          </rPr>
          <t xml:space="preserve">
</t>
        </r>
      </text>
    </comment>
    <comment ref="AM13" authorId="0">
      <text>
        <r>
          <rPr>
            <b/>
            <sz val="8"/>
            <color indexed="81"/>
            <rFont val="Tahoma"/>
            <family val="2"/>
          </rPr>
          <t xml:space="preserve">OBS:
</t>
        </r>
        <r>
          <rPr>
            <b/>
            <sz val="8"/>
            <color indexed="12"/>
            <rFont val="Tahoma"/>
            <family val="2"/>
          </rPr>
          <t xml:space="preserve">OPÇÃO 1  </t>
        </r>
        <r>
          <rPr>
            <b/>
            <sz val="8"/>
            <color indexed="81"/>
            <rFont val="Tahoma"/>
            <family val="2"/>
          </rPr>
          <t xml:space="preserve">
DSR sobre Adicional Noturno
</t>
        </r>
        <r>
          <rPr>
            <b/>
            <sz val="8"/>
            <color indexed="12"/>
            <rFont val="Tahoma"/>
            <family val="2"/>
          </rPr>
          <t xml:space="preserve">OPÇÃO 2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48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 xml:space="preserve">
DSR sobre remuneração
</t>
        </r>
        <r>
          <rPr>
            <b/>
            <sz val="8"/>
            <color indexed="12"/>
            <rFont val="Tahoma"/>
            <family val="2"/>
          </rPr>
          <t xml:space="preserve">OPÇÃO 3 </t>
        </r>
        <r>
          <rPr>
            <b/>
            <sz val="8"/>
            <color indexed="81"/>
            <rFont val="Tahoma"/>
            <family val="2"/>
          </rPr>
          <t xml:space="preserve">
DSR sobre Adicional Noturno + Adicional %
</t>
        </r>
        <r>
          <rPr>
            <b/>
            <sz val="8"/>
            <color indexed="12"/>
            <rFont val="Tahoma"/>
            <family val="2"/>
          </rPr>
          <t xml:space="preserve">OPÇÃO 4  
</t>
        </r>
        <r>
          <rPr>
            <b/>
            <sz val="8"/>
            <color indexed="8"/>
            <rFont val="Tahoma"/>
            <family val="2"/>
          </rPr>
          <t>DSR sobre remuneração + Adicional %</t>
        </r>
      </text>
    </comment>
    <comment ref="AQ13" authorId="1">
      <text>
        <r>
          <rPr>
            <b/>
            <sz val="8"/>
            <color indexed="81"/>
            <rFont val="Tahoma"/>
          </rPr>
          <t>Adicionais que não afetam o DSR, Adicional Noturno Reduzido.</t>
        </r>
      </text>
    </comment>
    <comment ref="AS13" authorId="0">
      <text>
        <r>
          <rPr>
            <b/>
            <sz val="7"/>
            <color indexed="81"/>
            <rFont val="Tahoma"/>
            <family val="2"/>
          </rPr>
          <t xml:space="preserve">Quatidade de dias Trabalhados em seguida sem folga.
Por exemplo:
</t>
        </r>
        <r>
          <rPr>
            <b/>
            <sz val="7"/>
            <color indexed="10"/>
            <rFont val="Tahoma"/>
            <family val="2"/>
          </rPr>
          <t>5 dias Trabalhados</t>
        </r>
        <r>
          <rPr>
            <b/>
            <sz val="7"/>
            <color indexed="81"/>
            <rFont val="Tahoma"/>
            <family val="2"/>
          </rPr>
          <t xml:space="preserve"> por 1 de folga; ou 5 x 1.
Para escala 12 x 36 deverá ser usado 1  x  1.
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AU13" authorId="0">
      <text>
        <r>
          <rPr>
            <b/>
            <sz val="7"/>
            <color indexed="81"/>
            <rFont val="Tahoma"/>
            <family val="2"/>
          </rPr>
          <t xml:space="preserve">Quatidade de dias de folgas seguidas .
Por exemplo:
5 dias Trabalhados por </t>
        </r>
        <r>
          <rPr>
            <b/>
            <sz val="7"/>
            <color indexed="10"/>
            <rFont val="Tahoma"/>
            <family val="2"/>
          </rPr>
          <t>1 de folga;</t>
        </r>
        <r>
          <rPr>
            <b/>
            <sz val="7"/>
            <color indexed="81"/>
            <rFont val="Tahoma"/>
            <family val="2"/>
          </rPr>
          <t xml:space="preserve"> ou 5 x </t>
        </r>
        <r>
          <rPr>
            <b/>
            <sz val="7"/>
            <color indexed="10"/>
            <rFont val="Tahoma"/>
            <family val="2"/>
          </rPr>
          <t xml:space="preserve">1 </t>
        </r>
        <r>
          <rPr>
            <b/>
            <sz val="7"/>
            <color indexed="81"/>
            <rFont val="Tahoma"/>
            <family val="2"/>
          </rPr>
          <t xml:space="preserve">.
3 dias Trabalhados por </t>
        </r>
        <r>
          <rPr>
            <b/>
            <sz val="7"/>
            <color indexed="10"/>
            <rFont val="Tahoma"/>
            <family val="2"/>
          </rPr>
          <t>2 de folga;</t>
        </r>
        <r>
          <rPr>
            <b/>
            <sz val="7"/>
            <color indexed="81"/>
            <rFont val="Tahoma"/>
            <family val="2"/>
          </rPr>
          <t xml:space="preserve"> ou 3 x </t>
        </r>
        <r>
          <rPr>
            <b/>
            <sz val="7"/>
            <color indexed="10"/>
            <rFont val="Tahoma"/>
            <family val="2"/>
          </rPr>
          <t xml:space="preserve">2 </t>
        </r>
        <r>
          <rPr>
            <b/>
            <sz val="7"/>
            <color indexed="81"/>
            <rFont val="Tahoma"/>
            <family val="2"/>
          </rPr>
          <t xml:space="preserve">.
Para escala 12 x 36 deverá ser usado 1  x  1.
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AW13" authorId="1">
      <text>
        <r>
          <rPr>
            <b/>
            <sz val="8"/>
            <color indexed="81"/>
            <rFont val="Tahoma"/>
          </rPr>
          <t xml:space="preserve">Será previsto para o Folguista os dias de Folgas a serem trabalhados.
</t>
        </r>
      </text>
    </comment>
    <comment ref="AY13" authorId="1">
      <text>
        <r>
          <rPr>
            <b/>
            <sz val="8"/>
            <color indexed="10"/>
            <rFont val="Tahoma"/>
            <family val="2"/>
          </rPr>
          <t>Folguista Rendição.</t>
        </r>
        <r>
          <rPr>
            <b/>
            <sz val="8"/>
            <color indexed="81"/>
            <rFont val="Tahoma"/>
          </rPr>
          <t xml:space="preserve">
</t>
        </r>
        <r>
          <rPr>
            <b/>
            <sz val="8"/>
            <color indexed="10"/>
            <rFont val="Tahoma"/>
            <family val="2"/>
          </rPr>
          <t>NOTA</t>
        </r>
        <r>
          <rPr>
            <b/>
            <sz val="8"/>
            <color indexed="81"/>
            <rFont val="Tahoma"/>
          </rPr>
          <t xml:space="preserve">
Previsão condicionada a preenchimento da planilha PF.
</t>
        </r>
      </text>
    </comment>
    <comment ref="BA13" authorId="0">
      <text>
        <r>
          <rPr>
            <b/>
            <sz val="8"/>
            <color indexed="81"/>
            <rFont val="Tahoma"/>
            <family val="2"/>
          </rPr>
          <t xml:space="preserve">Previsão de número de folguistas
Valor arredondado ao Final do Somatório.
</t>
        </r>
      </text>
    </comment>
    <comment ref="BC13" authorId="2">
      <text>
        <r>
          <rPr>
            <b/>
            <sz val="8"/>
            <color indexed="81"/>
            <rFont val="Tahoma"/>
            <family val="2"/>
          </rPr>
          <t xml:space="preserve">Adicionais que não afetam o DSR, Adicional Noturno e Adicional de Hora Noturna Reduzida e
possuem Encargos Sociais Diferenciados.
 </t>
        </r>
      </text>
    </comment>
    <comment ref="B14" authorId="2">
      <text>
        <r>
          <rPr>
            <sz val="8"/>
            <color indexed="81"/>
            <rFont val="Tahoma"/>
          </rPr>
          <t xml:space="preserve">As linhas e colunas desnecessárias podem ser ocultadas.
</t>
        </r>
        <r>
          <rPr>
            <sz val="8"/>
            <color indexed="10"/>
            <rFont val="Tahoma"/>
            <family val="2"/>
          </rPr>
          <t>Atenção: As linhas e colunas ocultadas devem estar sem dados.</t>
        </r>
      </text>
    </comment>
    <comment ref="I15" authorId="0">
      <text>
        <r>
          <rPr>
            <b/>
            <sz val="8"/>
            <color indexed="81"/>
            <rFont val="Tahoma"/>
          </rPr>
          <t>Digitar= hh:mm</t>
        </r>
        <r>
          <rPr>
            <sz val="8"/>
            <color indexed="81"/>
            <rFont val="Tahoma"/>
          </rPr>
          <t xml:space="preserve">
</t>
        </r>
      </text>
    </comment>
    <comment ref="I17" authorId="0">
      <text>
        <r>
          <rPr>
            <b/>
            <sz val="8"/>
            <color indexed="81"/>
            <rFont val="Tahoma"/>
          </rPr>
          <t>Digitar= hh:mm</t>
        </r>
        <r>
          <rPr>
            <sz val="8"/>
            <color indexed="81"/>
            <rFont val="Tahoma"/>
          </rPr>
          <t xml:space="preserve">
</t>
        </r>
      </text>
    </comment>
    <comment ref="I19" authorId="0">
      <text>
        <r>
          <rPr>
            <b/>
            <sz val="8"/>
            <color indexed="81"/>
            <rFont val="Tahoma"/>
          </rPr>
          <t>Digitar= hh:mm</t>
        </r>
        <r>
          <rPr>
            <sz val="8"/>
            <color indexed="81"/>
            <rFont val="Tahoma"/>
          </rPr>
          <t xml:space="preserve">
</t>
        </r>
      </text>
    </comment>
    <comment ref="I21" authorId="0">
      <text>
        <r>
          <rPr>
            <b/>
            <sz val="8"/>
            <color indexed="81"/>
            <rFont val="Tahoma"/>
          </rPr>
          <t>Digitar= hh:mm</t>
        </r>
        <r>
          <rPr>
            <sz val="8"/>
            <color indexed="81"/>
            <rFont val="Tahoma"/>
          </rPr>
          <t xml:space="preserve">
</t>
        </r>
      </text>
    </comment>
    <comment ref="I23" authorId="0">
      <text>
        <r>
          <rPr>
            <b/>
            <sz val="8"/>
            <color indexed="81"/>
            <rFont val="Tahoma"/>
          </rPr>
          <t>Digitar= hh:mm</t>
        </r>
        <r>
          <rPr>
            <sz val="8"/>
            <color indexed="81"/>
            <rFont val="Tahoma"/>
          </rPr>
          <t xml:space="preserve">
</t>
        </r>
      </text>
    </comment>
    <comment ref="S59" authorId="2">
      <text>
        <r>
          <rPr>
            <sz val="8"/>
            <color indexed="81"/>
            <rFont val="Tahoma"/>
          </rPr>
          <t>Remuneração x                        Qtd de empregados</t>
        </r>
      </text>
    </comment>
  </commentList>
</comments>
</file>

<file path=xl/comments3.xml><?xml version="1.0" encoding="utf-8"?>
<comments xmlns="http://schemas.openxmlformats.org/spreadsheetml/2006/main">
  <authors>
    <author>Cassia</author>
    <author>I9749850TS</author>
  </authors>
  <commentList>
    <comment ref="F5" authorId="0">
      <text>
        <r>
          <rPr>
            <b/>
            <sz val="8"/>
            <color indexed="81"/>
            <rFont val="Tahoma"/>
            <family val="2"/>
          </rPr>
          <t>Não deverá usar escala diferente do Estabelecido em CCT e/ou inciso XIV do art. 7º da CF/88.</t>
        </r>
        <r>
          <rPr>
            <sz val="8"/>
            <color indexed="81"/>
            <rFont val="Tahoma"/>
          </rPr>
          <t xml:space="preserve">
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>Não deverá usar escala diferente do Estabelecido em CCT e/ou inciso XIV do art. 7º da CF/88.</t>
        </r>
        <r>
          <rPr>
            <sz val="8"/>
            <color indexed="81"/>
            <rFont val="Tahoma"/>
          </rPr>
          <t xml:space="preserve">
</t>
        </r>
      </text>
    </comment>
    <comment ref="D7" authorId="0">
      <text>
        <r>
          <rPr>
            <b/>
            <sz val="8"/>
            <color indexed="81"/>
            <rFont val="Tahoma"/>
          </rPr>
          <t>Digitar no Efetivo - cadastro automático</t>
        </r>
        <r>
          <rPr>
            <sz val="8"/>
            <color indexed="81"/>
            <rFont val="Tahoma"/>
          </rPr>
          <t xml:space="preserve">
</t>
        </r>
      </text>
    </comment>
    <comment ref="Q7" authorId="1">
      <text>
        <r>
          <rPr>
            <b/>
            <sz val="8"/>
            <color indexed="81"/>
            <rFont val="Tahoma"/>
          </rPr>
          <t xml:space="preserve">Se "SIM" digitar </t>
        </r>
        <r>
          <rPr>
            <b/>
            <sz val="8"/>
            <color indexed="10"/>
            <rFont val="Tahoma"/>
            <family val="2"/>
          </rPr>
          <t>"S"</t>
        </r>
        <r>
          <rPr>
            <b/>
            <sz val="8"/>
            <color indexed="81"/>
            <rFont val="Tahoma"/>
          </rPr>
          <t xml:space="preserve">
Se "NÃO" deixar célular em </t>
        </r>
        <r>
          <rPr>
            <b/>
            <sz val="8"/>
            <color indexed="10"/>
            <rFont val="Tahoma"/>
            <family val="2"/>
          </rPr>
          <t>"BRANCO"</t>
        </r>
        <r>
          <rPr>
            <sz val="8"/>
            <color indexed="81"/>
            <rFont val="Tahoma"/>
          </rPr>
          <t xml:space="preserve">
</t>
        </r>
      </text>
    </comment>
    <comment ref="R7" authorId="1">
      <text>
        <r>
          <rPr>
            <b/>
            <sz val="8"/>
            <color indexed="81"/>
            <rFont val="Tahoma"/>
          </rPr>
          <t xml:space="preserve">Se "SIM" digitar </t>
        </r>
        <r>
          <rPr>
            <b/>
            <sz val="8"/>
            <color indexed="10"/>
            <rFont val="Tahoma"/>
            <family val="2"/>
          </rPr>
          <t>"S"</t>
        </r>
        <r>
          <rPr>
            <b/>
            <sz val="8"/>
            <color indexed="81"/>
            <rFont val="Tahoma"/>
          </rPr>
          <t xml:space="preserve">
Se "NÃO" deixar célular em </t>
        </r>
        <r>
          <rPr>
            <b/>
            <sz val="8"/>
            <color indexed="10"/>
            <rFont val="Tahoma"/>
            <family val="2"/>
          </rPr>
          <t>"BRANCO"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I1074249</author>
    <author>infra</author>
    <author>Cassia</author>
  </authors>
  <commentList>
    <comment ref="L9" authorId="0">
      <text>
        <r>
          <rPr>
            <b/>
            <sz val="8"/>
            <color indexed="81"/>
            <rFont val="Tahoma"/>
          </rPr>
          <t>Quantidade de dias trabalhados</t>
        </r>
        <r>
          <rPr>
            <sz val="8"/>
            <color indexed="81"/>
            <rFont val="Tahoma"/>
          </rPr>
          <t xml:space="preserve">
</t>
        </r>
      </text>
    </comment>
    <comment ref="D13" authorId="1">
      <text>
        <r>
          <rPr>
            <b/>
            <sz val="8"/>
            <color indexed="81"/>
            <rFont val="Tahoma"/>
            <family val="2"/>
          </rPr>
          <t>Base de cálculo para  efeito de reembolso (art.4º da Lei 7.418/85), salvo CCT.</t>
        </r>
      </text>
    </comment>
    <comment ref="H13" authorId="0">
      <text>
        <r>
          <rPr>
            <b/>
            <sz val="8"/>
            <color indexed="81"/>
            <rFont val="Tahoma"/>
          </rPr>
          <t>Qtd utilizada para o deslocamento de ida e volta ao trabalho</t>
        </r>
        <r>
          <rPr>
            <sz val="8"/>
            <color indexed="81"/>
            <rFont val="Tahoma"/>
          </rPr>
          <t xml:space="preserve">
</t>
        </r>
      </text>
    </comment>
    <comment ref="I13" authorId="0">
      <text>
        <r>
          <rPr>
            <b/>
            <sz val="8"/>
            <color indexed="81"/>
            <rFont val="Tahoma"/>
          </rPr>
          <t>Custo de 1 vale</t>
        </r>
        <r>
          <rPr>
            <sz val="8"/>
            <color indexed="81"/>
            <rFont val="Tahoma"/>
          </rPr>
          <t xml:space="preserve">
</t>
        </r>
      </text>
    </comment>
    <comment ref="J13" authorId="1">
      <text>
        <r>
          <rPr>
            <b/>
            <sz val="8"/>
            <color indexed="10"/>
            <rFont val="Tahoma"/>
            <family val="2"/>
          </rPr>
          <t>% de desconto</t>
        </r>
      </text>
    </comment>
    <comment ref="P13" authorId="0">
      <text>
        <r>
          <rPr>
            <b/>
            <sz val="8"/>
            <color indexed="81"/>
            <rFont val="Tahoma"/>
          </rPr>
          <t>Participação do empregado</t>
        </r>
      </text>
    </comment>
    <comment ref="T13" authorId="0">
      <text>
        <r>
          <rPr>
            <b/>
            <sz val="8"/>
            <color indexed="81"/>
            <rFont val="Tahoma"/>
          </rPr>
          <t>Qtd. de dias trabalhados ou qtd informada no ACT</t>
        </r>
        <r>
          <rPr>
            <sz val="8"/>
            <color indexed="81"/>
            <rFont val="Tahoma"/>
          </rPr>
          <t xml:space="preserve">
</t>
        </r>
      </text>
    </comment>
    <comment ref="V13" authorId="2">
      <text>
        <r>
          <rPr>
            <b/>
            <sz val="8"/>
            <color indexed="81"/>
            <rFont val="Tahoma"/>
          </rPr>
          <t xml:space="preserve">Custo de 1 vale
</t>
        </r>
        <r>
          <rPr>
            <sz val="8"/>
            <color indexed="81"/>
            <rFont val="Tahoma"/>
          </rPr>
          <t xml:space="preserve">
</t>
        </r>
      </text>
    </comment>
    <comment ref="W13" authorId="1">
      <text>
        <r>
          <rPr>
            <b/>
            <sz val="8"/>
            <color indexed="10"/>
            <rFont val="Tahoma"/>
            <family val="2"/>
          </rPr>
          <t>% de desconto</t>
        </r>
      </text>
    </comment>
    <comment ref="Y13" authorId="0">
      <text>
        <r>
          <rPr>
            <b/>
            <sz val="8"/>
            <color indexed="81"/>
            <rFont val="Tahoma"/>
          </rPr>
          <t>Participação referente ao custo unitário</t>
        </r>
        <r>
          <rPr>
            <sz val="8"/>
            <color indexed="81"/>
            <rFont val="Tahoma"/>
          </rPr>
          <t xml:space="preserve">
</t>
        </r>
      </text>
    </comment>
    <comment ref="AC13" authorId="0">
      <text>
        <r>
          <rPr>
            <b/>
            <sz val="8"/>
            <color indexed="81"/>
            <rFont val="Tahoma"/>
          </rPr>
          <t xml:space="preserve">Qtd. de Empregados 
+ Folguistas  (Se houver)+ Folguistas de Folga Agrupada (Se houver)
</t>
        </r>
        <r>
          <rPr>
            <sz val="8"/>
            <color indexed="81"/>
            <rFont val="Tahoma"/>
          </rPr>
          <t xml:space="preserve">
</t>
        </r>
      </text>
    </comment>
    <comment ref="AK13" authorId="0">
      <text>
        <r>
          <rPr>
            <b/>
            <sz val="8"/>
            <color indexed="81"/>
            <rFont val="Tahoma"/>
          </rPr>
          <t xml:space="preserve">Qtd. de Empregados 
+ Folguistas  (Se houver)+ Folguistas de Folga Agrupada (Se houver)
</t>
        </r>
        <r>
          <rPr>
            <sz val="8"/>
            <color indexed="81"/>
            <rFont val="Tahoma"/>
          </rPr>
          <t xml:space="preserve">
</t>
        </r>
      </text>
    </comment>
    <comment ref="AS13" authorId="0">
      <text>
        <r>
          <rPr>
            <b/>
            <sz val="8"/>
            <color indexed="81"/>
            <rFont val="Tahoma"/>
          </rPr>
          <t xml:space="preserve">Qtd. de Empregados 
+ Folguistas  (Se houver)+ Folguistas de Folga Agrupada (Se houver)
</t>
        </r>
        <r>
          <rPr>
            <sz val="8"/>
            <color indexed="81"/>
            <rFont val="Tahoma"/>
          </rPr>
          <t xml:space="preserve">
</t>
        </r>
      </text>
    </comment>
    <comment ref="BA13" authorId="0">
      <text>
        <r>
          <rPr>
            <b/>
            <sz val="8"/>
            <color indexed="81"/>
            <rFont val="Tahoma"/>
          </rPr>
          <t xml:space="preserve">Qtd. de Empregados 
+ Folguistas  (Se houver)+ Folguistas de Folga Agrupada (Se houver)
</t>
        </r>
        <r>
          <rPr>
            <sz val="8"/>
            <color indexed="81"/>
            <rFont val="Tahoma"/>
          </rPr>
          <t xml:space="preserve">
</t>
        </r>
      </text>
    </comment>
    <comment ref="BE13" authorId="0">
      <text>
        <r>
          <rPr>
            <b/>
            <sz val="8"/>
            <color indexed="81"/>
            <rFont val="Tahoma"/>
          </rPr>
          <t>Reembolso de 6% sobre o salário base</t>
        </r>
        <r>
          <rPr>
            <sz val="8"/>
            <color indexed="81"/>
            <rFont val="Tahoma"/>
          </rPr>
          <t xml:space="preserve">
</t>
        </r>
      </text>
    </comment>
    <comment ref="BI13" authorId="0">
      <text>
        <r>
          <rPr>
            <b/>
            <sz val="8"/>
            <color indexed="81"/>
            <rFont val="Tahoma"/>
          </rPr>
          <t xml:space="preserve">Qtd. de Empregados 
+ Folguistas  (Se houver)+ Folguistas de Folga Agrupada (Se houver)
</t>
        </r>
        <r>
          <rPr>
            <sz val="8"/>
            <color indexed="81"/>
            <rFont val="Tahoma"/>
          </rPr>
          <t xml:space="preserve">
</t>
        </r>
      </text>
    </comment>
    <comment ref="BQ13" authorId="0">
      <text>
        <r>
          <rPr>
            <b/>
            <sz val="8"/>
            <color indexed="81"/>
            <rFont val="Tahoma"/>
          </rPr>
          <t xml:space="preserve">Qtd. de Empregados 
+ Folguistas  (Se houver)+ Folguistas de Folga Agrupada (Se houver)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Cassia</author>
  </authors>
  <commentList>
    <comment ref="D6" authorId="0">
      <text>
        <r>
          <rPr>
            <b/>
            <sz val="8"/>
            <color indexed="81"/>
            <rFont val="Tahoma"/>
          </rPr>
          <t xml:space="preserve">Bimestral = </t>
        </r>
        <r>
          <rPr>
            <b/>
            <sz val="8"/>
            <color indexed="10"/>
            <rFont val="Tahoma"/>
            <family val="2"/>
          </rPr>
          <t xml:space="preserve">2 </t>
        </r>
        <r>
          <rPr>
            <b/>
            <sz val="8"/>
            <color indexed="81"/>
            <rFont val="Tahoma"/>
          </rPr>
          <t xml:space="preserve">meses
Trimestral = </t>
        </r>
        <r>
          <rPr>
            <b/>
            <sz val="8"/>
            <color indexed="10"/>
            <rFont val="Tahoma"/>
            <family val="2"/>
          </rPr>
          <t>3</t>
        </r>
        <r>
          <rPr>
            <b/>
            <sz val="8"/>
            <color indexed="81"/>
            <rFont val="Tahoma"/>
          </rPr>
          <t xml:space="preserve"> meses
Semestral = </t>
        </r>
        <r>
          <rPr>
            <b/>
            <sz val="8"/>
            <color indexed="10"/>
            <rFont val="Tahoma"/>
            <family val="2"/>
          </rPr>
          <t>6</t>
        </r>
        <r>
          <rPr>
            <b/>
            <sz val="8"/>
            <color indexed="81"/>
            <rFont val="Tahoma"/>
          </rPr>
          <t xml:space="preserve"> meses
Anual = </t>
        </r>
        <r>
          <rPr>
            <b/>
            <sz val="8"/>
            <color indexed="10"/>
            <rFont val="Tahoma"/>
            <family val="2"/>
          </rPr>
          <t>12</t>
        </r>
        <r>
          <rPr>
            <b/>
            <sz val="8"/>
            <color indexed="81"/>
            <rFont val="Tahoma"/>
          </rPr>
          <t xml:space="preserve"> meses</t>
        </r>
        <r>
          <rPr>
            <sz val="8"/>
            <color indexed="81"/>
            <rFont val="Tahoma"/>
          </rPr>
          <t xml:space="preserve">
</t>
        </r>
      </text>
    </comment>
    <comment ref="G6" authorId="0">
      <text>
        <r>
          <rPr>
            <sz val="8"/>
            <color indexed="81"/>
            <rFont val="Tahoma"/>
          </rPr>
          <t xml:space="preserve">Inserir Total de Empregados (jornada Normal) + Empregados de Escala + Folguista de Escala (se houver)+ Folguista de Folga Agrupada (se houver)
</t>
        </r>
      </text>
    </comment>
    <comment ref="C11" authorId="0">
      <text>
        <r>
          <rPr>
            <b/>
            <sz val="8"/>
            <color indexed="10"/>
            <rFont val="Tahoma"/>
            <family val="2"/>
          </rPr>
          <t>EPI/EPC e UNIFORME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
</t>
        </r>
      </text>
    </comment>
    <comment ref="E11" authorId="0">
      <text>
        <r>
          <rPr>
            <b/>
            <sz val="8"/>
            <color indexed="81"/>
            <rFont val="Tahoma"/>
          </rPr>
          <t xml:space="preserve">Conforme estabelecido na  Convenção c/c a Cotação:
</t>
        </r>
        <r>
          <rPr>
            <b/>
            <sz val="8"/>
            <color indexed="81"/>
            <rFont val="Tahoma"/>
            <family val="2"/>
          </rPr>
          <t>12 = orçar a quantidade relativa ao ano;
6 = orçar a quantidade relativa ao semestre;
3 = orçar a quantidade relativa ao trimestre;
2 = orçar a quantidade relativa ao bimestre;</t>
        </r>
      </text>
    </comment>
  </commentList>
</comments>
</file>

<file path=xl/comments6.xml><?xml version="1.0" encoding="utf-8"?>
<comments xmlns="http://schemas.openxmlformats.org/spreadsheetml/2006/main">
  <authors>
    <author>I1074249</author>
    <author>infra</author>
  </authors>
  <commentList>
    <comment ref="H8" authorId="0">
      <text>
        <r>
          <rPr>
            <b/>
            <sz val="8"/>
            <color indexed="81"/>
            <rFont val="Tahoma"/>
          </rPr>
          <t>PIS:         -0,65%
COFINS:   -3,00%</t>
        </r>
        <r>
          <rPr>
            <sz val="8"/>
            <color indexed="81"/>
            <rFont val="Tahoma"/>
          </rPr>
          <t xml:space="preserve">
</t>
        </r>
      </text>
    </comment>
    <comment ref="C13" authorId="1">
      <text>
        <r>
          <rPr>
            <b/>
            <sz val="8"/>
            <color indexed="81"/>
            <rFont val="Tahoma"/>
          </rPr>
          <t xml:space="preserve">Facilidade: </t>
        </r>
        <r>
          <rPr>
            <sz val="8"/>
            <color indexed="81"/>
            <rFont val="Tahoma"/>
          </rPr>
          <t>Escolher na Lista Suspensa
com Botão Direito do Mouse</t>
        </r>
      </text>
    </comment>
    <comment ref="D13" authorId="0">
      <text>
        <r>
          <rPr>
            <b/>
            <sz val="8"/>
            <color indexed="81"/>
            <rFont val="Tahoma"/>
          </rPr>
          <t>Litro = Lt
Unidade = Un
Metro = Mt
Pacote = pct
etc</t>
        </r>
      </text>
    </comment>
  </commentList>
</comments>
</file>

<file path=xl/comments7.xml><?xml version="1.0" encoding="utf-8"?>
<comments xmlns="http://schemas.openxmlformats.org/spreadsheetml/2006/main">
  <authors>
    <author>I1074249</author>
    <author>Cassia</author>
  </authors>
  <commentList>
    <comment ref="J13" authorId="0">
      <text>
        <r>
          <rPr>
            <b/>
            <sz val="8"/>
            <color indexed="81"/>
            <rFont val="Tahoma"/>
          </rPr>
          <t xml:space="preserve">Valor Residual: Valor do Bem após a sua depreciação. 
Por Exemplo:
Furadeira Fabricada em  1997 custou R$ 2.000,00, dez anos, após sua depreciação, em 2007 custa  </t>
        </r>
        <r>
          <rPr>
            <b/>
            <sz val="8"/>
            <color indexed="10"/>
            <rFont val="Tahoma"/>
            <family val="2"/>
          </rPr>
          <t>R$ 100,00 (valor Residual).</t>
        </r>
        <r>
          <rPr>
            <b/>
            <sz val="8"/>
            <color indexed="81"/>
            <rFont val="Tahoma"/>
          </rPr>
          <t xml:space="preserve">
LEMBRETE:
Só exite valor residual se o bem ainda tiver valor de mercado após sua depreciação.
</t>
        </r>
        <r>
          <rPr>
            <sz val="8"/>
            <color indexed="81"/>
            <rFont val="Tahoma"/>
          </rPr>
          <t xml:space="preserve">
</t>
        </r>
      </text>
    </comment>
    <comment ref="K13" authorId="1">
      <text>
        <r>
          <rPr>
            <b/>
            <sz val="8"/>
            <color indexed="81"/>
            <rFont val="Tahoma"/>
          </rPr>
          <t>Período de meses para depreciação. (IN SRF nº 162)</t>
        </r>
        <r>
          <rPr>
            <sz val="8"/>
            <color indexed="81"/>
            <rFont val="Tahoma"/>
          </rPr>
          <t xml:space="preserve">
</t>
        </r>
      </text>
    </comment>
    <comment ref="Q13" authorId="0">
      <text>
        <r>
          <rPr>
            <sz val="8"/>
            <color indexed="81"/>
            <rFont val="Tahoma"/>
            <family val="2"/>
          </rPr>
          <t>Novo:      0,25% 
1 ano:     0,50%
2 anos:   0,75%
3 ou +:   1,00%</t>
        </r>
      </text>
    </comment>
  </commentList>
</comments>
</file>

<file path=xl/comments8.xml><?xml version="1.0" encoding="utf-8"?>
<comments xmlns="http://schemas.openxmlformats.org/spreadsheetml/2006/main">
  <authors>
    <author>I1074249</author>
    <author>infra</author>
    <author>Cassia</author>
  </authors>
  <commentList>
    <comment ref="J6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6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H12" authorId="0">
      <text>
        <r>
          <rPr>
            <b/>
            <sz val="8"/>
            <color indexed="81"/>
            <rFont val="Tahoma"/>
          </rPr>
          <t>Veículos:                 45.000
Ônibus e Cam.:      80.000</t>
        </r>
      </text>
    </comment>
    <comment ref="J12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H13" authorId="0">
      <text>
        <r>
          <rPr>
            <b/>
            <sz val="8"/>
            <color indexed="81"/>
            <rFont val="Tahoma"/>
          </rPr>
          <t>Veículos: 8 a 12 Km/lt
Ônibus e Cam.: 3,5 a 5 Km/lt</t>
        </r>
        <r>
          <rPr>
            <sz val="8"/>
            <color indexed="81"/>
            <rFont val="Tahoma"/>
          </rPr>
          <t xml:space="preserve">
</t>
        </r>
      </text>
    </comment>
    <comment ref="J1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D14" authorId="0">
      <text>
        <r>
          <rPr>
            <b/>
            <sz val="8"/>
            <color indexed="81"/>
            <rFont val="Tahoma"/>
          </rPr>
          <t>Veículos: 4 a 6 Lt
Ônibus e Cam.: 25 Lt</t>
        </r>
        <r>
          <rPr>
            <sz val="8"/>
            <color indexed="81"/>
            <rFont val="Tahoma"/>
          </rPr>
          <t xml:space="preserve">
</t>
        </r>
      </text>
    </comment>
    <comment ref="H14" authorId="0">
      <text>
        <r>
          <rPr>
            <b/>
            <sz val="8"/>
            <color indexed="81"/>
            <rFont val="Tahoma"/>
          </rPr>
          <t>Veículos: 5.000
Ônibus e Cam.: 10.000</t>
        </r>
      </text>
    </comment>
    <comment ref="J1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5" authorId="0">
      <text>
        <r>
          <rPr>
            <b/>
            <sz val="8"/>
            <color indexed="81"/>
            <rFont val="Tahoma"/>
            <family val="2"/>
          </rPr>
          <t>Veículos: 20.000
Ônibus e Cam.: 30.000</t>
        </r>
        <r>
          <rPr>
            <sz val="8"/>
            <color indexed="81"/>
            <rFont val="Tahoma"/>
          </rPr>
          <t xml:space="preserve">
</t>
        </r>
      </text>
    </comment>
    <comment ref="J1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6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7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8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9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Mínimo 4
Máximo 8</t>
        </r>
      </text>
    </comment>
    <comment ref="J20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21" authorId="1">
      <text>
        <r>
          <rPr>
            <b/>
            <sz val="8"/>
            <color indexed="81"/>
            <rFont val="Tahoma"/>
            <family val="2"/>
          </rPr>
          <t>Informar a Quilometragem prevista entre as manutenções. 
Ver manual do veículo.</t>
        </r>
      </text>
    </comment>
    <comment ref="J21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J27" authorId="2">
      <text>
        <r>
          <rPr>
            <b/>
            <sz val="8"/>
            <color indexed="81"/>
            <rFont val="Tahoma"/>
          </rPr>
          <t>Estima-se 3 % sobre o valor do veículo.</t>
        </r>
        <r>
          <rPr>
            <sz val="8"/>
            <color indexed="81"/>
            <rFont val="Tahoma"/>
          </rPr>
          <t xml:space="preserve">
</t>
        </r>
      </text>
    </comment>
    <comment ref="R31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36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36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H42" authorId="0">
      <text>
        <r>
          <rPr>
            <b/>
            <sz val="8"/>
            <color indexed="81"/>
            <rFont val="Tahoma"/>
          </rPr>
          <t>Veículos:                 45.000
Ônibus e Cam.:      80.000</t>
        </r>
      </text>
    </comment>
    <comment ref="J42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H43" authorId="0">
      <text>
        <r>
          <rPr>
            <b/>
            <sz val="8"/>
            <color indexed="81"/>
            <rFont val="Tahoma"/>
          </rPr>
          <t>Veículos: 8 a 12 Km/lt
Ônibus e Cam.: 3,5 a 5 Km/lt</t>
        </r>
        <r>
          <rPr>
            <sz val="8"/>
            <color indexed="81"/>
            <rFont val="Tahoma"/>
          </rPr>
          <t xml:space="preserve">
</t>
        </r>
      </text>
    </comment>
    <comment ref="J4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D44" authorId="0">
      <text>
        <r>
          <rPr>
            <b/>
            <sz val="8"/>
            <color indexed="81"/>
            <rFont val="Tahoma"/>
          </rPr>
          <t>Veículos: 4 a 6 Lt
Ônibus e Cam.: 25 Lt</t>
        </r>
        <r>
          <rPr>
            <sz val="8"/>
            <color indexed="81"/>
            <rFont val="Tahoma"/>
          </rPr>
          <t xml:space="preserve">
</t>
        </r>
      </text>
    </comment>
    <comment ref="H44" authorId="0">
      <text>
        <r>
          <rPr>
            <b/>
            <sz val="8"/>
            <color indexed="81"/>
            <rFont val="Tahoma"/>
          </rPr>
          <t>Veículos: 5.000
Ônibus e Cam.: 10.000</t>
        </r>
      </text>
    </comment>
    <comment ref="J4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45" authorId="0">
      <text>
        <r>
          <rPr>
            <b/>
            <sz val="8"/>
            <color indexed="81"/>
            <rFont val="Tahoma"/>
            <family val="2"/>
          </rPr>
          <t>Veículos: 20.000
Ônibus e Cam.: 30.000</t>
        </r>
        <r>
          <rPr>
            <sz val="8"/>
            <color indexed="81"/>
            <rFont val="Tahoma"/>
          </rPr>
          <t xml:space="preserve">
</t>
        </r>
      </text>
    </comment>
    <comment ref="J4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46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4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47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4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48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4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49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D50" authorId="0">
      <text>
        <r>
          <rPr>
            <b/>
            <sz val="8"/>
            <color indexed="81"/>
            <rFont val="Tahoma"/>
            <family val="2"/>
          </rPr>
          <t>Mínimo 4
Máximo 8</t>
        </r>
      </text>
    </comment>
    <comment ref="J50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J51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61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66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66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H72" authorId="0">
      <text>
        <r>
          <rPr>
            <b/>
            <sz val="8"/>
            <color indexed="81"/>
            <rFont val="Tahoma"/>
          </rPr>
          <t>Veículos:                 45.000
Ônibus e Cam.:      80.000</t>
        </r>
      </text>
    </comment>
    <comment ref="J72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H73" authorId="0">
      <text>
        <r>
          <rPr>
            <b/>
            <sz val="8"/>
            <color indexed="81"/>
            <rFont val="Tahoma"/>
          </rPr>
          <t>Veículos: 8 a 12 Km/lt
Ônibus e Cam.: 3,5 a 5 Km/lt</t>
        </r>
        <r>
          <rPr>
            <sz val="8"/>
            <color indexed="81"/>
            <rFont val="Tahoma"/>
          </rPr>
          <t xml:space="preserve">
</t>
        </r>
      </text>
    </comment>
    <comment ref="J7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D74" authorId="0">
      <text>
        <r>
          <rPr>
            <b/>
            <sz val="8"/>
            <color indexed="81"/>
            <rFont val="Tahoma"/>
          </rPr>
          <t>Veículos: 4 a 6 Lt
Ônibus e Cam.: 25 Lt</t>
        </r>
        <r>
          <rPr>
            <sz val="8"/>
            <color indexed="81"/>
            <rFont val="Tahoma"/>
          </rPr>
          <t xml:space="preserve">
</t>
        </r>
      </text>
    </comment>
    <comment ref="H74" authorId="0">
      <text>
        <r>
          <rPr>
            <b/>
            <sz val="8"/>
            <color indexed="81"/>
            <rFont val="Tahoma"/>
          </rPr>
          <t>Veículos: 5.000
Ônibus e Cam.: 10.000</t>
        </r>
      </text>
    </comment>
    <comment ref="J7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Veículos: 20.000
Ônibus e Cam.: 30.000</t>
        </r>
        <r>
          <rPr>
            <sz val="8"/>
            <color indexed="81"/>
            <rFont val="Tahoma"/>
          </rPr>
          <t xml:space="preserve">
</t>
        </r>
      </text>
    </comment>
    <comment ref="J7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76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7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77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7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78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7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79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D80" authorId="0">
      <text>
        <r>
          <rPr>
            <b/>
            <sz val="8"/>
            <color indexed="81"/>
            <rFont val="Tahoma"/>
            <family val="2"/>
          </rPr>
          <t>Mínimo 4
Máximo 8</t>
        </r>
      </text>
    </comment>
    <comment ref="J80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81" authorId="1">
      <text>
        <r>
          <rPr>
            <sz val="8"/>
            <color indexed="10"/>
            <rFont val="Tahoma"/>
            <family val="2"/>
          </rPr>
          <t>Esta opção deverá ser descartada se a manutenção já for prevista na Coluna 10 da planilha "DV".</t>
        </r>
        <r>
          <rPr>
            <sz val="8"/>
            <color indexed="81"/>
            <rFont val="Tahoma"/>
          </rPr>
          <t xml:space="preserve">
Informar a Kilometragem prevista entre as manutenções. 
Ver manual do veículo.</t>
        </r>
      </text>
    </comment>
    <comment ref="J81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91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96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96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H102" authorId="0">
      <text>
        <r>
          <rPr>
            <b/>
            <sz val="8"/>
            <color indexed="81"/>
            <rFont val="Tahoma"/>
          </rPr>
          <t>Veículos:                 45.000
Ônibus e Cam.:      80.000</t>
        </r>
      </text>
    </comment>
    <comment ref="J102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H103" authorId="0">
      <text>
        <r>
          <rPr>
            <b/>
            <sz val="8"/>
            <color indexed="81"/>
            <rFont val="Tahoma"/>
          </rPr>
          <t>Veículos: 8 a 12 Km/lt
Ônibus e Cam.: 3,5 a 5 Km/lt</t>
        </r>
        <r>
          <rPr>
            <sz val="8"/>
            <color indexed="81"/>
            <rFont val="Tahoma"/>
          </rPr>
          <t xml:space="preserve">
</t>
        </r>
      </text>
    </comment>
    <comment ref="J10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D104" authorId="0">
      <text>
        <r>
          <rPr>
            <b/>
            <sz val="8"/>
            <color indexed="81"/>
            <rFont val="Tahoma"/>
          </rPr>
          <t>Veículos: 4 a 6 Lt
Ônibus e Cam.: 25 Lt</t>
        </r>
        <r>
          <rPr>
            <sz val="8"/>
            <color indexed="81"/>
            <rFont val="Tahoma"/>
          </rPr>
          <t xml:space="preserve">
</t>
        </r>
      </text>
    </comment>
    <comment ref="H104" authorId="0">
      <text>
        <r>
          <rPr>
            <b/>
            <sz val="8"/>
            <color indexed="81"/>
            <rFont val="Tahoma"/>
          </rPr>
          <t>Veículos: 5.000
Ônibus e Cam.: 10.000</t>
        </r>
      </text>
    </comment>
    <comment ref="J10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05" authorId="0">
      <text>
        <r>
          <rPr>
            <b/>
            <sz val="8"/>
            <color indexed="81"/>
            <rFont val="Tahoma"/>
            <family val="2"/>
          </rPr>
          <t>Veículos: 20.000
Ônibus e Cam.: 30.000</t>
        </r>
        <r>
          <rPr>
            <sz val="8"/>
            <color indexed="81"/>
            <rFont val="Tahoma"/>
          </rPr>
          <t xml:space="preserve">
</t>
        </r>
      </text>
    </comment>
    <comment ref="J10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06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0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07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0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08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0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09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D110" authorId="0">
      <text>
        <r>
          <rPr>
            <b/>
            <sz val="8"/>
            <color indexed="81"/>
            <rFont val="Tahoma"/>
            <family val="2"/>
          </rPr>
          <t>Mínimo 4
Máximo 8</t>
        </r>
      </text>
    </comment>
    <comment ref="J110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111" authorId="1">
      <text>
        <r>
          <rPr>
            <sz val="8"/>
            <color indexed="10"/>
            <rFont val="Tahoma"/>
            <family val="2"/>
          </rPr>
          <t>Esta opção deverá ser descartada se a manutenção já for prevista na Coluna 10 da planilha "DV".</t>
        </r>
        <r>
          <rPr>
            <sz val="8"/>
            <color indexed="81"/>
            <rFont val="Tahoma"/>
          </rPr>
          <t xml:space="preserve">
Informar a Kilometragem prevista entre as manutenções. 
Ver manual do veículo.</t>
        </r>
      </text>
    </comment>
    <comment ref="J111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121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126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126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H132" authorId="0">
      <text>
        <r>
          <rPr>
            <b/>
            <sz val="8"/>
            <color indexed="81"/>
            <rFont val="Tahoma"/>
          </rPr>
          <t>Veículos:                 45.000
Ônibus e Cam.:      80.000</t>
        </r>
      </text>
    </comment>
    <comment ref="J132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H133" authorId="0">
      <text>
        <r>
          <rPr>
            <b/>
            <sz val="8"/>
            <color indexed="81"/>
            <rFont val="Tahoma"/>
          </rPr>
          <t>Veículos: 8 a 12 Km/lt
Ônibus e Cam.: 3,5 a 5 Km/lt</t>
        </r>
        <r>
          <rPr>
            <sz val="8"/>
            <color indexed="81"/>
            <rFont val="Tahoma"/>
          </rPr>
          <t xml:space="preserve">
</t>
        </r>
      </text>
    </comment>
    <comment ref="J13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D134" authorId="0">
      <text>
        <r>
          <rPr>
            <b/>
            <sz val="8"/>
            <color indexed="81"/>
            <rFont val="Tahoma"/>
          </rPr>
          <t>Veículos: 4 a 6 Lt
Ônibus e Cam.: 25 Lt</t>
        </r>
        <r>
          <rPr>
            <sz val="8"/>
            <color indexed="81"/>
            <rFont val="Tahoma"/>
          </rPr>
          <t xml:space="preserve">
</t>
        </r>
      </text>
    </comment>
    <comment ref="H134" authorId="0">
      <text>
        <r>
          <rPr>
            <b/>
            <sz val="8"/>
            <color indexed="81"/>
            <rFont val="Tahoma"/>
          </rPr>
          <t>Veículos: 5.000
Ônibus e Cam.: 10.000</t>
        </r>
      </text>
    </comment>
    <comment ref="J13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35" authorId="0">
      <text>
        <r>
          <rPr>
            <b/>
            <sz val="8"/>
            <color indexed="81"/>
            <rFont val="Tahoma"/>
            <family val="2"/>
          </rPr>
          <t>Veículos: 20.000
Ônibus e Cam.: 30.000</t>
        </r>
        <r>
          <rPr>
            <sz val="8"/>
            <color indexed="81"/>
            <rFont val="Tahoma"/>
          </rPr>
          <t xml:space="preserve">
</t>
        </r>
      </text>
    </comment>
    <comment ref="J13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36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3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37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3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38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3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39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D140" authorId="0">
      <text>
        <r>
          <rPr>
            <b/>
            <sz val="8"/>
            <color indexed="81"/>
            <rFont val="Tahoma"/>
            <family val="2"/>
          </rPr>
          <t>Mínimo 4
Máximo 8</t>
        </r>
      </text>
    </comment>
    <comment ref="J140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141" authorId="1">
      <text>
        <r>
          <rPr>
            <sz val="8"/>
            <color indexed="10"/>
            <rFont val="Tahoma"/>
            <family val="2"/>
          </rPr>
          <t>Esta opção deverá ser descartada se a manutenção já for prevista na Coluna 10 da planilha "DV".</t>
        </r>
        <r>
          <rPr>
            <sz val="8"/>
            <color indexed="81"/>
            <rFont val="Tahoma"/>
          </rPr>
          <t xml:space="preserve">
Informar a Kilometragem prevista entre as manutenções. 
Ver manual do veículo.</t>
        </r>
      </text>
    </comment>
    <comment ref="J141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151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156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156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H162" authorId="0">
      <text>
        <r>
          <rPr>
            <b/>
            <sz val="8"/>
            <color indexed="81"/>
            <rFont val="Tahoma"/>
          </rPr>
          <t>Veículos:                 45.000
Ônibus e Cam.:      80.000</t>
        </r>
      </text>
    </comment>
    <comment ref="J162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H163" authorId="0">
      <text>
        <r>
          <rPr>
            <b/>
            <sz val="8"/>
            <color indexed="81"/>
            <rFont val="Tahoma"/>
          </rPr>
          <t>Veículos: 8 a 12 Km/lt
Ônibus e Cam.: 3,5 a 5 Km/lt</t>
        </r>
        <r>
          <rPr>
            <sz val="8"/>
            <color indexed="81"/>
            <rFont val="Tahoma"/>
          </rPr>
          <t xml:space="preserve">
</t>
        </r>
      </text>
    </comment>
    <comment ref="J16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D164" authorId="0">
      <text>
        <r>
          <rPr>
            <b/>
            <sz val="8"/>
            <color indexed="81"/>
            <rFont val="Tahoma"/>
          </rPr>
          <t>Veículos: 4 a 6 Lt
Ônibus e Cam.: 25 Lt</t>
        </r>
        <r>
          <rPr>
            <sz val="8"/>
            <color indexed="81"/>
            <rFont val="Tahoma"/>
          </rPr>
          <t xml:space="preserve">
</t>
        </r>
      </text>
    </comment>
    <comment ref="H164" authorId="0">
      <text>
        <r>
          <rPr>
            <b/>
            <sz val="8"/>
            <color indexed="81"/>
            <rFont val="Tahoma"/>
          </rPr>
          <t>Veículos: 5.000
Ônibus e Cam.: 10.000</t>
        </r>
      </text>
    </comment>
    <comment ref="J16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65" authorId="0">
      <text>
        <r>
          <rPr>
            <b/>
            <sz val="8"/>
            <color indexed="81"/>
            <rFont val="Tahoma"/>
            <family val="2"/>
          </rPr>
          <t>Veículos: 20.000
Ônibus e Cam.: 30.000</t>
        </r>
        <r>
          <rPr>
            <sz val="8"/>
            <color indexed="81"/>
            <rFont val="Tahoma"/>
          </rPr>
          <t xml:space="preserve">
</t>
        </r>
      </text>
    </comment>
    <comment ref="J16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66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6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67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6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68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6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69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D170" authorId="0">
      <text>
        <r>
          <rPr>
            <b/>
            <sz val="8"/>
            <color indexed="81"/>
            <rFont val="Tahoma"/>
            <family val="2"/>
          </rPr>
          <t>Mínimo 4
Máximo 8</t>
        </r>
      </text>
    </comment>
    <comment ref="J170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171" authorId="1">
      <text>
        <r>
          <rPr>
            <sz val="8"/>
            <color indexed="10"/>
            <rFont val="Tahoma"/>
            <family val="2"/>
          </rPr>
          <t>Esta opção deverá ser descartada se a manutenção já for prevista na Coluna 10 da planilha "DV".</t>
        </r>
        <r>
          <rPr>
            <sz val="8"/>
            <color indexed="81"/>
            <rFont val="Tahoma"/>
          </rPr>
          <t xml:space="preserve">
Informar a Kilometragem prevista entre as manutenções. 
Ver manual do veículo.</t>
        </r>
      </text>
    </comment>
    <comment ref="J171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181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186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186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H192" authorId="0">
      <text>
        <r>
          <rPr>
            <b/>
            <sz val="8"/>
            <color indexed="81"/>
            <rFont val="Tahoma"/>
          </rPr>
          <t>Veículos:                 45.000
Ônibus e Cam.:      80.000</t>
        </r>
      </text>
    </comment>
    <comment ref="J192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H193" authorId="0">
      <text>
        <r>
          <rPr>
            <b/>
            <sz val="8"/>
            <color indexed="81"/>
            <rFont val="Tahoma"/>
          </rPr>
          <t>Veículos: 8 a 12 Km/lt
Ônibus e Cam.: 3,5 a 5 Km/lt</t>
        </r>
        <r>
          <rPr>
            <sz val="8"/>
            <color indexed="81"/>
            <rFont val="Tahoma"/>
          </rPr>
          <t xml:space="preserve">
</t>
        </r>
      </text>
    </comment>
    <comment ref="J19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D194" authorId="0">
      <text>
        <r>
          <rPr>
            <b/>
            <sz val="8"/>
            <color indexed="81"/>
            <rFont val="Tahoma"/>
          </rPr>
          <t>Veículos: 4 a 6 Lt
Ônibus e Cam.: 25 Lt</t>
        </r>
        <r>
          <rPr>
            <sz val="8"/>
            <color indexed="81"/>
            <rFont val="Tahoma"/>
          </rPr>
          <t xml:space="preserve">
</t>
        </r>
      </text>
    </comment>
    <comment ref="H194" authorId="0">
      <text>
        <r>
          <rPr>
            <b/>
            <sz val="8"/>
            <color indexed="81"/>
            <rFont val="Tahoma"/>
          </rPr>
          <t>Veículos: 5.000
Ônibus e Cam.: 10.000</t>
        </r>
      </text>
    </comment>
    <comment ref="J19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95" authorId="0">
      <text>
        <r>
          <rPr>
            <b/>
            <sz val="8"/>
            <color indexed="81"/>
            <rFont val="Tahoma"/>
            <family val="2"/>
          </rPr>
          <t>Veículos: 20.000
Ônibus e Cam.: 30.000</t>
        </r>
        <r>
          <rPr>
            <sz val="8"/>
            <color indexed="81"/>
            <rFont val="Tahoma"/>
          </rPr>
          <t xml:space="preserve">
</t>
        </r>
      </text>
    </comment>
    <comment ref="J19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96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9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97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9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198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19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199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D200" authorId="0">
      <text>
        <r>
          <rPr>
            <b/>
            <sz val="8"/>
            <color indexed="81"/>
            <rFont val="Tahoma"/>
            <family val="2"/>
          </rPr>
          <t>Mínimo 4
Máximo 8</t>
        </r>
      </text>
    </comment>
    <comment ref="J200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201" authorId="1">
      <text>
        <r>
          <rPr>
            <sz val="8"/>
            <color indexed="10"/>
            <rFont val="Tahoma"/>
            <family val="2"/>
          </rPr>
          <t>Esta opção deverá ser descartada se a manutenção já for prevista na Coluna 10 da planilha "DV".</t>
        </r>
        <r>
          <rPr>
            <sz val="8"/>
            <color indexed="81"/>
            <rFont val="Tahoma"/>
          </rPr>
          <t xml:space="preserve">
Informar a Kilometragem prevista entre as manutenções. 
Ver manual do veículo.</t>
        </r>
      </text>
    </comment>
    <comment ref="J201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211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  <comment ref="J216" authorId="0">
      <text>
        <r>
          <rPr>
            <b/>
            <sz val="8"/>
            <color indexed="81"/>
            <rFont val="Tahoma"/>
          </rPr>
          <t>Qtd. de Km por mês</t>
        </r>
      </text>
    </comment>
    <comment ref="R216" authorId="1">
      <text>
        <r>
          <rPr>
            <sz val="8"/>
            <color indexed="81"/>
            <rFont val="Tahoma"/>
          </rPr>
          <t>Valor para cálculo de Manutenção e Peças</t>
        </r>
      </text>
    </comment>
    <comment ref="H222" authorId="0">
      <text>
        <r>
          <rPr>
            <b/>
            <sz val="8"/>
            <color indexed="81"/>
            <rFont val="Tahoma"/>
          </rPr>
          <t>Veículos:                 45.000
Ônibus e Cam.:      80.000</t>
        </r>
      </text>
    </comment>
    <comment ref="J222" authorId="0">
      <text>
        <r>
          <rPr>
            <b/>
            <sz val="8"/>
            <color indexed="81"/>
            <rFont val="Tahoma"/>
          </rPr>
          <t>Inserir o preço referente a 1 pneu</t>
        </r>
      </text>
    </comment>
    <comment ref="H223" authorId="0">
      <text>
        <r>
          <rPr>
            <b/>
            <sz val="8"/>
            <color indexed="81"/>
            <rFont val="Tahoma"/>
          </rPr>
          <t>Veículos: 8 a 12 Km/lt
Ônibus e Cam.: 3,5 a 5 Km/lt</t>
        </r>
        <r>
          <rPr>
            <sz val="8"/>
            <color indexed="81"/>
            <rFont val="Tahoma"/>
          </rPr>
          <t xml:space="preserve">
</t>
        </r>
      </text>
    </comment>
    <comment ref="J223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D224" authorId="0">
      <text>
        <r>
          <rPr>
            <b/>
            <sz val="8"/>
            <color indexed="81"/>
            <rFont val="Tahoma"/>
          </rPr>
          <t>Veículos: 4 a 6 Lt
Ônibus e Cam.: 25 Lt</t>
        </r>
        <r>
          <rPr>
            <sz val="8"/>
            <color indexed="81"/>
            <rFont val="Tahoma"/>
          </rPr>
          <t xml:space="preserve">
</t>
        </r>
      </text>
    </comment>
    <comment ref="H224" authorId="0">
      <text>
        <r>
          <rPr>
            <b/>
            <sz val="8"/>
            <color indexed="81"/>
            <rFont val="Tahoma"/>
          </rPr>
          <t>Veículos: 5.000
Ônibus e Cam.: 10.000</t>
        </r>
      </text>
    </comment>
    <comment ref="J224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225" authorId="0">
      <text>
        <r>
          <rPr>
            <b/>
            <sz val="8"/>
            <color indexed="81"/>
            <rFont val="Tahoma"/>
            <family val="2"/>
          </rPr>
          <t>Veículos: 20.000
Ônibus e Cam.: 30.000</t>
        </r>
        <r>
          <rPr>
            <sz val="8"/>
            <color indexed="81"/>
            <rFont val="Tahoma"/>
          </rPr>
          <t xml:space="preserve">
</t>
        </r>
      </text>
    </comment>
    <comment ref="J225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226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226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227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227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H228" authorId="0">
      <text>
        <r>
          <rPr>
            <b/>
            <sz val="8"/>
            <color indexed="81"/>
            <rFont val="Tahoma"/>
          </rPr>
          <t xml:space="preserve">Veículos: 20.000
Ônibus e Cam.: 30.000
</t>
        </r>
        <r>
          <rPr>
            <sz val="8"/>
            <color indexed="81"/>
            <rFont val="Tahoma"/>
          </rPr>
          <t xml:space="preserve">
</t>
        </r>
      </text>
    </comment>
    <comment ref="J228" authorId="0">
      <text>
        <r>
          <rPr>
            <b/>
            <sz val="8"/>
            <color indexed="81"/>
            <rFont val="Tahoma"/>
          </rPr>
          <t>Inserir o preço referente a 1 lt</t>
        </r>
        <r>
          <rPr>
            <sz val="8"/>
            <color indexed="81"/>
            <rFont val="Tahoma"/>
          </rPr>
          <t xml:space="preserve">
</t>
        </r>
      </text>
    </comment>
    <comment ref="J229" authorId="0">
      <text>
        <r>
          <rPr>
            <b/>
            <sz val="8"/>
            <color indexed="81"/>
            <rFont val="Tahoma"/>
          </rPr>
          <t>Inserir o preço referente a uma lavagem</t>
        </r>
        <r>
          <rPr>
            <sz val="8"/>
            <color indexed="81"/>
            <rFont val="Tahoma"/>
          </rPr>
          <t xml:space="preserve">
</t>
        </r>
      </text>
    </comment>
    <comment ref="D230" authorId="0">
      <text>
        <r>
          <rPr>
            <b/>
            <sz val="8"/>
            <color indexed="81"/>
            <rFont val="Tahoma"/>
            <family val="2"/>
          </rPr>
          <t>Mínimo 4
Máximo 8</t>
        </r>
      </text>
    </comment>
    <comment ref="J230" authorId="0">
      <text>
        <r>
          <rPr>
            <b/>
            <sz val="8"/>
            <color indexed="81"/>
            <rFont val="Tahoma"/>
          </rPr>
          <t>Inserir o preço referente a 1 amortecedor</t>
        </r>
        <r>
          <rPr>
            <sz val="8"/>
            <color indexed="81"/>
            <rFont val="Tahoma"/>
          </rPr>
          <t xml:space="preserve">
</t>
        </r>
      </text>
    </comment>
    <comment ref="H231" authorId="1">
      <text>
        <r>
          <rPr>
            <sz val="8"/>
            <color indexed="10"/>
            <rFont val="Tahoma"/>
            <family val="2"/>
          </rPr>
          <t>Esta opção deverá ser descartada se a manutenção já for prevista na Coluna 10 da planilha "DV".</t>
        </r>
        <r>
          <rPr>
            <sz val="8"/>
            <color indexed="81"/>
            <rFont val="Tahoma"/>
          </rPr>
          <t xml:space="preserve">
Informar a Kilometragem prevista entre as manutenções. 
Ver manual do veículo.</t>
        </r>
      </text>
    </comment>
    <comment ref="J231" authorId="1">
      <text>
        <r>
          <rPr>
            <sz val="8"/>
            <color indexed="81"/>
            <rFont val="Tahoma"/>
          </rPr>
          <t xml:space="preserve">O percentual máximo admitido pela Infraero é de </t>
        </r>
        <r>
          <rPr>
            <b/>
            <sz val="8"/>
            <color indexed="81"/>
            <rFont val="Tahoma"/>
            <family val="2"/>
          </rPr>
          <t>1%</t>
        </r>
      </text>
    </comment>
    <comment ref="R241" authorId="0">
      <text>
        <r>
          <rPr>
            <b/>
            <sz val="8"/>
            <color indexed="81"/>
            <rFont val="Tahoma"/>
          </rPr>
          <t>Transferir este valor para a Plan:</t>
        </r>
        <r>
          <rPr>
            <b/>
            <sz val="8"/>
            <color indexed="12"/>
            <rFont val="Tahoma"/>
            <family val="2"/>
          </rPr>
          <t xml:space="preserve"> DV</t>
        </r>
      </text>
    </comment>
  </commentList>
</comments>
</file>

<file path=xl/comments9.xml><?xml version="1.0" encoding="utf-8"?>
<comments xmlns="http://schemas.openxmlformats.org/spreadsheetml/2006/main">
  <authors>
    <author>infra</author>
    <author>I1074249</author>
  </authors>
  <commentList>
    <comment ref="C13" authorId="0">
      <text>
        <r>
          <rPr>
            <sz val="8"/>
            <color indexed="81"/>
            <rFont val="Tahoma"/>
          </rPr>
          <t xml:space="preserve">As linhas e colunas desnecessárias podem ser ocultadas.
</t>
        </r>
        <r>
          <rPr>
            <sz val="8"/>
            <color indexed="10"/>
            <rFont val="Tahoma"/>
            <family val="2"/>
          </rPr>
          <t>Atenção: As linhas e colunas ocultadas devem estar sem dados</t>
        </r>
      </text>
    </comment>
    <comment ref="F13" authorId="1">
      <text>
        <r>
          <rPr>
            <b/>
            <sz val="8"/>
            <color indexed="81"/>
            <rFont val="Tahoma"/>
          </rPr>
          <t>Valor de aquisição do Veículo.</t>
        </r>
        <r>
          <rPr>
            <sz val="8"/>
            <color indexed="81"/>
            <rFont val="Tahoma"/>
          </rPr>
          <t xml:space="preserve">
</t>
        </r>
      </text>
    </comment>
    <comment ref="J13" authorId="1">
      <text>
        <r>
          <rPr>
            <b/>
            <sz val="9"/>
            <color indexed="81"/>
            <rFont val="Tahoma"/>
            <family val="2"/>
          </rPr>
          <t xml:space="preserve">Valor Residual: Valor do Bem após a sua depreciação. 
Por Exemplo:
GOL Fabricado em  2002 custou R$ 22.000,00, cinco anos, após sua depreciação, em 2007 custa  </t>
        </r>
        <r>
          <rPr>
            <b/>
            <sz val="9"/>
            <color indexed="10"/>
            <rFont val="Tahoma"/>
            <family val="2"/>
          </rPr>
          <t>R$ 8.000,00 (valor Residual).</t>
        </r>
        <r>
          <rPr>
            <b/>
            <sz val="9"/>
            <color indexed="81"/>
            <rFont val="Tahoma"/>
            <family val="2"/>
          </rPr>
          <t xml:space="preserve">
LEMBRETE:
Só exite valor residual se o bem ainda tiver valor de mercado após sua depreciação.</t>
        </r>
      </text>
    </comment>
    <comment ref="K13" authorId="1">
      <text>
        <r>
          <rPr>
            <b/>
            <sz val="8"/>
            <color indexed="81"/>
            <rFont val="Tahoma"/>
          </rPr>
          <t>Período de meses para depreciação do bem.</t>
        </r>
        <r>
          <rPr>
            <sz val="8"/>
            <color indexed="81"/>
            <rFont val="Tahoma"/>
          </rPr>
          <t xml:space="preserve">
(IN SRF Nº 162)
</t>
        </r>
      </text>
    </comment>
    <comment ref="O13" authorId="1">
      <text>
        <r>
          <rPr>
            <b/>
            <sz val="8"/>
            <color indexed="81"/>
            <rFont val="Tahoma"/>
          </rPr>
          <t>= Custo líquido / pelo Tempo de depreciação</t>
        </r>
        <r>
          <rPr>
            <sz val="8"/>
            <color indexed="81"/>
            <rFont val="Tahoma"/>
          </rPr>
          <t xml:space="preserve">
</t>
        </r>
      </text>
    </comment>
    <comment ref="Q13" authorId="1">
      <text>
        <r>
          <rPr>
            <b/>
            <sz val="8"/>
            <color indexed="81"/>
            <rFont val="Tahoma"/>
          </rPr>
          <t>Este valor deverá ser o mesmo encontrado na planilha DOV_Simulador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<sst xmlns="http://schemas.openxmlformats.org/spreadsheetml/2006/main" count="1641" uniqueCount="669">
  <si>
    <t>IV - MARGEM DE CONTRIBUIÇÃO E ENCARGOS TRIBUTÁRIOS</t>
  </si>
  <si>
    <t>Média dias úteis no ano</t>
  </si>
  <si>
    <t>Licença Paternidade</t>
  </si>
  <si>
    <t>Indenização Adicional</t>
  </si>
  <si>
    <t>Totais</t>
  </si>
  <si>
    <t>DOV por Veículo</t>
  </si>
  <si>
    <t>Valor adicional II:</t>
  </si>
  <si>
    <t>Meses</t>
  </si>
  <si>
    <t>Modalidade de Licitação:</t>
  </si>
  <si>
    <t>Partici-pação</t>
  </si>
  <si>
    <t>Seguro de Vida Em Grupo</t>
  </si>
  <si>
    <t>Reembol-so R$</t>
  </si>
  <si>
    <t>Custo por Item</t>
  </si>
  <si>
    <t>DEPRECIAÇÃO DE VEÍCULOS E DESPESAS OPERACIONAIS</t>
  </si>
  <si>
    <t>Total DOV</t>
  </si>
  <si>
    <t>Depreciação de Equipamentos e Pequenos Utensílios</t>
  </si>
  <si>
    <t>Média Mensal de Utilização do Veículo em Km:</t>
  </si>
  <si>
    <t>Custo Final</t>
  </si>
  <si>
    <t>Custo/Km</t>
  </si>
  <si>
    <t>CUSTOS VARIÁVEIS</t>
  </si>
  <si>
    <t xml:space="preserve">   km</t>
  </si>
  <si>
    <t>Indenização Referente ao Final do Contrato (Aviso Prévio)</t>
  </si>
  <si>
    <t xml:space="preserve"> VII  -  TOTAL   GLOBAL   PARA</t>
  </si>
  <si>
    <t>MARGEM DE CONTRIBUIÇÃO</t>
  </si>
  <si>
    <t>1.1 - Margem de Contribuição</t>
  </si>
  <si>
    <t xml:space="preserve">2.2 - PIS           </t>
  </si>
  <si>
    <t>2.2 - PIS                                                            até</t>
  </si>
  <si>
    <t>Veículos Automotores</t>
  </si>
  <si>
    <t>Pregão Eletrônico</t>
  </si>
  <si>
    <t>un</t>
  </si>
  <si>
    <t>Valor Adicional I:</t>
  </si>
  <si>
    <t>Nome da Planilha:</t>
  </si>
  <si>
    <t>Objeto :</t>
  </si>
  <si>
    <t>Prazo do contrato:</t>
  </si>
  <si>
    <t>Valor Global</t>
  </si>
  <si>
    <t>Regime de Contratação:</t>
  </si>
  <si>
    <t xml:space="preserve">Salário (R$)       </t>
  </si>
  <si>
    <t>Cargo / Função</t>
  </si>
  <si>
    <t>Soma (R$)</t>
  </si>
  <si>
    <t>Salário (R$)</t>
  </si>
  <si>
    <t xml:space="preserve"> REMUNERAÇÃO DE PESSOAL</t>
  </si>
  <si>
    <t>MARGEM DE CONTRIBUIÇÃO, ENCARGOS TRIBUTÁRIOS E INDENIZAÇÃO AVISO PRÉVIO</t>
  </si>
  <si>
    <t>Salário</t>
  </si>
  <si>
    <t>CUSTOS FIXOS</t>
  </si>
  <si>
    <t>TOTAL</t>
  </si>
  <si>
    <t>Salário Educação</t>
  </si>
  <si>
    <t>SEBRAE</t>
  </si>
  <si>
    <t>INCRA</t>
  </si>
  <si>
    <t xml:space="preserve"> Grupo A</t>
  </si>
  <si>
    <t>INSS</t>
  </si>
  <si>
    <t>SESI ou SESC</t>
  </si>
  <si>
    <t>SENAI ou SENAC</t>
  </si>
  <si>
    <t>FGTS</t>
  </si>
  <si>
    <t>Seguro Acidente do Trabalho/SAT/INSS</t>
  </si>
  <si>
    <t>Grupo B</t>
  </si>
  <si>
    <t>Grupo C</t>
  </si>
  <si>
    <t>Indenização (rescisões sem justa causa) e provisão de 50% de FGTS</t>
  </si>
  <si>
    <t>Grupo D</t>
  </si>
  <si>
    <t xml:space="preserve">Total de Encargos Sociais </t>
  </si>
  <si>
    <t>ENCARGOS TRIBUTÁRIOS</t>
  </si>
  <si>
    <t>2.1 - ISS</t>
  </si>
  <si>
    <t>2.3 - COFINS</t>
  </si>
  <si>
    <t>Subtotal</t>
  </si>
  <si>
    <t>lt</t>
  </si>
  <si>
    <t>Preço R$</t>
  </si>
  <si>
    <t>Qtd.</t>
  </si>
  <si>
    <t>Medida</t>
  </si>
  <si>
    <t>Consumo</t>
  </si>
  <si>
    <t>Carter</t>
  </si>
  <si>
    <t>Diferencial</t>
  </si>
  <si>
    <t>Câmbio</t>
  </si>
  <si>
    <t>Freio</t>
  </si>
  <si>
    <t>Graxa</t>
  </si>
  <si>
    <t>Lavagem</t>
  </si>
  <si>
    <t>Combustível</t>
  </si>
  <si>
    <t>Pneus e Câmaras</t>
  </si>
  <si>
    <t>Amortecedor</t>
  </si>
  <si>
    <t>Seguro:</t>
  </si>
  <si>
    <t>Itens</t>
  </si>
  <si>
    <t>INSUMOS</t>
  </si>
  <si>
    <t>Custo Unitário</t>
  </si>
  <si>
    <t>Custo Anual</t>
  </si>
  <si>
    <t>Custo Mensal</t>
  </si>
  <si>
    <t>Valor Mensal</t>
  </si>
  <si>
    <t>Custo Un.</t>
  </si>
  <si>
    <t>Crédito Pis/Cofins</t>
  </si>
  <si>
    <t>Custo un. (líquido)</t>
  </si>
  <si>
    <t>Descrição</t>
  </si>
  <si>
    <t>Qtd. de Pessoas</t>
  </si>
  <si>
    <t>Custo Individual</t>
  </si>
  <si>
    <t>Qtd. Diária</t>
  </si>
  <si>
    <t>Seguro de Vida em Grupo</t>
  </si>
  <si>
    <t>Cesta Básica</t>
  </si>
  <si>
    <t>Transporte</t>
  </si>
  <si>
    <t>Assistência Médica</t>
  </si>
  <si>
    <t>Assistência Odontológica</t>
  </si>
  <si>
    <t>Qtd. de Emp.</t>
  </si>
  <si>
    <t>II</t>
  </si>
  <si>
    <t>SUBTOTAL</t>
  </si>
  <si>
    <t>ENCARGOS SOCIAIS</t>
  </si>
  <si>
    <t xml:space="preserve">               Item                                         </t>
  </si>
  <si>
    <t>Valor do Bem      R$</t>
  </si>
  <si>
    <t>Item</t>
  </si>
  <si>
    <t>Depreciação Mensal - R$</t>
  </si>
  <si>
    <t>Custo              Líquido - R$</t>
  </si>
  <si>
    <t>Ano Fab.</t>
  </si>
  <si>
    <t>Qtd. Dias</t>
  </si>
  <si>
    <t>Adicional noturno</t>
  </si>
  <si>
    <t>Encargos Sociais</t>
  </si>
  <si>
    <t>Soma</t>
  </si>
  <si>
    <t>Repouso Remun.</t>
  </si>
  <si>
    <t>Repouso Remunerado</t>
  </si>
  <si>
    <t>Total Mensal</t>
  </si>
  <si>
    <t>Vale Transporte</t>
  </si>
  <si>
    <t>Reembolso R$</t>
  </si>
  <si>
    <t>Custo</t>
  </si>
  <si>
    <t>Material</t>
  </si>
  <si>
    <t>Veículos - Depreciação</t>
  </si>
  <si>
    <t>%</t>
  </si>
  <si>
    <t>2</t>
  </si>
  <si>
    <t>3</t>
  </si>
  <si>
    <t>4</t>
  </si>
  <si>
    <t>5</t>
  </si>
  <si>
    <t>6</t>
  </si>
  <si>
    <t>7</t>
  </si>
  <si>
    <t>8</t>
  </si>
  <si>
    <t>1</t>
  </si>
  <si>
    <t>Crédito do PIS/COFINS</t>
  </si>
  <si>
    <t>Hora Noturna por dia trab.</t>
  </si>
  <si>
    <t>Opção DSR</t>
  </si>
  <si>
    <t>Horário</t>
  </si>
  <si>
    <t>Objeto:</t>
  </si>
  <si>
    <t>Valor Mensal:</t>
  </si>
  <si>
    <t>Valor Global:</t>
  </si>
  <si>
    <t>COMPOSIÇÃO DE PREÇO (MENSAL)</t>
  </si>
  <si>
    <t>I - REMUNERAÇÃO DE PESSOAL</t>
  </si>
  <si>
    <t>QTDE.</t>
  </si>
  <si>
    <t>II - ENCARGOS SOCIAIS</t>
  </si>
  <si>
    <t>GRUPO - A</t>
  </si>
  <si>
    <t>01 - INSS</t>
  </si>
  <si>
    <t>02 - SESI ou SESC</t>
  </si>
  <si>
    <t>03 - SENAI ou SENAC</t>
  </si>
  <si>
    <t>04 - INCRA</t>
  </si>
  <si>
    <t>05 - Salário Educação</t>
  </si>
  <si>
    <t>06 - FGTS</t>
  </si>
  <si>
    <t>07 - Seguro Acidente do Trabalho/SAT/INSS</t>
  </si>
  <si>
    <t>08 - SEBRAE</t>
  </si>
  <si>
    <t>GRUPO - B</t>
  </si>
  <si>
    <t>GRUPO - C</t>
  </si>
  <si>
    <t>GRUPO - D</t>
  </si>
  <si>
    <t>TOTAL DOS ENCARGOS SOCIAIS:</t>
  </si>
  <si>
    <t>TOTAL II :</t>
  </si>
  <si>
    <t>III - INSUMOS</t>
  </si>
  <si>
    <t>TOTAL III:</t>
  </si>
  <si>
    <t>Se necessário, insira no campo abaixo o valor adicional total referente às observações realizadas:</t>
  </si>
  <si>
    <t>INFORMAÇÕES GERAIS</t>
  </si>
  <si>
    <t>DESCRIÇÃO</t>
  </si>
  <si>
    <t>OBSERVAÇÕES</t>
  </si>
  <si>
    <t xml:space="preserve"> NOTAS</t>
  </si>
  <si>
    <t>Periculosidade/ Insalubridade</t>
  </si>
  <si>
    <t xml:space="preserve">Qtd. de Horas Trab. no Mês </t>
  </si>
  <si>
    <t>Despesas Operacionais dos Veículos (Combustível, Pneus, Óleos Lubrificantes, etc.)</t>
  </si>
  <si>
    <t>Descrição dos Itens de uso mensal</t>
  </si>
  <si>
    <t>IV. 2 - ENCARGOS TRIBUTÁRIOS</t>
  </si>
  <si>
    <t>MESES</t>
  </si>
  <si>
    <t xml:space="preserve">SUBTOTAL II   </t>
  </si>
  <si>
    <t>Equipamentos e Utensílios - Depreciação</t>
  </si>
  <si>
    <t>Auxílio Doença</t>
  </si>
  <si>
    <t>Faltas Legais</t>
  </si>
  <si>
    <t>Acidentes de Trabalho</t>
  </si>
  <si>
    <t>13º Salário</t>
  </si>
  <si>
    <t>BENEFÍCIOS</t>
  </si>
  <si>
    <t>Encargos Tributários</t>
  </si>
  <si>
    <t>MATERIAL DE USO MENSAL</t>
  </si>
  <si>
    <t>R$</t>
  </si>
  <si>
    <t>Prazo de vida útil (mês)</t>
  </si>
  <si>
    <t>Clique aqui para acessar a IN SRF nº 162 (Instruções para depreciação)</t>
  </si>
  <si>
    <t>% admitidos (Teto)</t>
  </si>
  <si>
    <t>Total</t>
  </si>
  <si>
    <t>Prazo do Contrato (meses)</t>
  </si>
  <si>
    <t>Prazo de Vida Útil (meses)</t>
  </si>
  <si>
    <t>Descrição dos Cálculos</t>
  </si>
  <si>
    <t>Vale Refeição/Alimentação</t>
  </si>
  <si>
    <t>B + A = C</t>
  </si>
  <si>
    <t>D = AVISO PRÉVIO INDENIZAÇÃO</t>
  </si>
  <si>
    <t>Diversos serviços</t>
  </si>
  <si>
    <t>Dados para os Cálculos dos Custos de Pessoal</t>
  </si>
  <si>
    <t>Valor Un  R$</t>
  </si>
  <si>
    <t>Total I</t>
  </si>
  <si>
    <t>Vale Refeição / Alimentação</t>
  </si>
  <si>
    <t>Dias no ano</t>
  </si>
  <si>
    <t>Feriados Nacionais</t>
  </si>
  <si>
    <t>Dias úteis - Média dos feriados</t>
  </si>
  <si>
    <t>Média dos dias Trabalhados no ano</t>
  </si>
  <si>
    <t>Média feriados nos últimos 3 anos</t>
  </si>
  <si>
    <t>Dias úteis</t>
  </si>
  <si>
    <t>Nº de semanas</t>
  </si>
  <si>
    <t>A</t>
  </si>
  <si>
    <t>B</t>
  </si>
  <si>
    <t>C</t>
  </si>
  <si>
    <t>D</t>
  </si>
  <si>
    <t>E</t>
  </si>
  <si>
    <t>F</t>
  </si>
  <si>
    <t>G</t>
  </si>
  <si>
    <t xml:space="preserve">   A / 7 (dias da semana)</t>
  </si>
  <si>
    <t xml:space="preserve">  Média de feriados em dias úteis</t>
  </si>
  <si>
    <t>Valor Adicional:</t>
  </si>
  <si>
    <t>01 - Margem de Contribuição</t>
  </si>
  <si>
    <t>Qtd</t>
  </si>
  <si>
    <t>Despesas Gerais</t>
  </si>
  <si>
    <t>V - INDENIZAÇÃO REFERENTE AO FINAL DO CONTRATO</t>
  </si>
  <si>
    <t>Remuneração de Pessoal</t>
  </si>
  <si>
    <t>% Aviso Prévio</t>
  </si>
  <si>
    <t>Soma I</t>
  </si>
  <si>
    <t>Margem de Contribuição</t>
  </si>
  <si>
    <t>Aviso Prévio (final de Contrato)</t>
  </si>
  <si>
    <t>VI - OBSERVAÇÕES</t>
  </si>
  <si>
    <t>Total:</t>
  </si>
  <si>
    <t>Saldo versão anterior:</t>
  </si>
  <si>
    <t>Saldo Versão Anterior:</t>
  </si>
  <si>
    <t xml:space="preserve">Domingos e Feriados: </t>
  </si>
  <si>
    <t xml:space="preserve">%  DSR:  </t>
  </si>
  <si>
    <t xml:space="preserve">% de Adicional Noturno: </t>
  </si>
  <si>
    <t>Adic. Noturno + Hora Reduzida</t>
  </si>
  <si>
    <t>Adicionais</t>
  </si>
  <si>
    <t>Valores Máximos Admitidos pela Infraero</t>
  </si>
  <si>
    <t>1.1 - Margem de Contribuição                      até</t>
  </si>
  <si>
    <t>2.1 - ISS                                                            até</t>
  </si>
  <si>
    <t>2.3 - COFINS                                                   até</t>
  </si>
  <si>
    <t>Valor do Veículo:</t>
  </si>
  <si>
    <t>Manutenção e Peças</t>
  </si>
  <si>
    <t>Licenciamento (IPVA+Seg. Obrig.+Licenciamento)</t>
  </si>
  <si>
    <t>Sub Total I</t>
  </si>
  <si>
    <t xml:space="preserve">                   TOTAL</t>
  </si>
  <si>
    <t>Preço Global</t>
  </si>
  <si>
    <t>Nome da Dependência:</t>
  </si>
  <si>
    <t>Sigla:</t>
  </si>
  <si>
    <t xml:space="preserve">Despesas Gerais - Mensais </t>
  </si>
  <si>
    <t>Quantidade</t>
  </si>
  <si>
    <t>2. Os percentuais maximos admitidos pela infraero, para efeito de classificação de propostas serão os seguintes:</t>
  </si>
  <si>
    <t>Encargos Tributários - ET (incide sobre o faturamento - ( SUBTOTAL I + MC) / (1 - % ET) ] x % ET)</t>
  </si>
  <si>
    <t>Margem de Contribuição - MC  (sobre o SUBTOTAL I)</t>
  </si>
  <si>
    <t>(Valor mensal x prazo contrato) + Valor Adicional I + Valor Adicional II</t>
  </si>
  <si>
    <t>Nome do Gestor:</t>
  </si>
  <si>
    <t>Observações:</t>
  </si>
  <si>
    <t>Convenção Coletiva Utilizada:</t>
  </si>
  <si>
    <t>ALCOOL 70%</t>
  </si>
  <si>
    <t>ALVEJANTE BACT/HIPOCL. SODIO</t>
  </si>
  <si>
    <t>APLICADOR CERA TONKI</t>
  </si>
  <si>
    <t>BALDE PLAST. 10 LTS</t>
  </si>
  <si>
    <t>BALDE PLAST. 20 LTS</t>
  </si>
  <si>
    <t>CABELEIRA MOP AGUA TONKI</t>
  </si>
  <si>
    <t>CABELEIRA MOP PO 60 CM / COMUM</t>
  </si>
  <si>
    <t>CABO ALUM. MO PO C0 CM/PLATAF</t>
  </si>
  <si>
    <t>CERA IMP. REALCE 3M</t>
  </si>
  <si>
    <t>CERA LIQ. PETROLEO P/ PISO MAD</t>
  </si>
  <si>
    <t>CERA PLAST. VERMELHA/SINTEKO</t>
  </si>
  <si>
    <t>DESINF. CONCENTRAX LAV. 1000x90</t>
  </si>
  <si>
    <t>DESENTUPIDOR GRANDE</t>
  </si>
  <si>
    <t>DESINF. AUDAX EUCALIPTO CX. 100</t>
  </si>
  <si>
    <t>DETERG. AUDAX CLEGEL CX. 100</t>
  </si>
  <si>
    <t>DETERG. AUDAX NEUTRO 2x5</t>
  </si>
  <si>
    <t>DETERG. C/AMON. SPI 18 TASK</t>
  </si>
  <si>
    <t>DISCO BRANCO 510</t>
  </si>
  <si>
    <t>DISCO 350 AMAR. POLIDOR 3M</t>
  </si>
  <si>
    <t>DISCO 350 PRETO REMOVEDOR 3M</t>
  </si>
  <si>
    <t>DISCO 350 VERDE LIMPADOR 3M</t>
  </si>
  <si>
    <t>DISCO 380 VERDE LIMPADOR 3M</t>
  </si>
  <si>
    <t>DISCO 410 AMAR. POLIDOR 3M</t>
  </si>
  <si>
    <t>DISCO 410 BRANCO LUSTRADOR 3M</t>
  </si>
  <si>
    <t>DISCO 410 PRETO REMOVEDOR 3M</t>
  </si>
  <si>
    <t>DISCO 410 VERDE LIMPADOR 3M</t>
  </si>
  <si>
    <t>DISCO 510 AMAR. POLIDOR 3M</t>
  </si>
  <si>
    <t>DISCO 510 PRETO REMOVEDOR 3M</t>
  </si>
  <si>
    <t>DISCO 510 VERDE LIMPADOR 3M</t>
  </si>
  <si>
    <t>DISCO 510 VERMELHO</t>
  </si>
  <si>
    <t>DISCO PELO DE PORCO P/HI SPEED</t>
  </si>
  <si>
    <t>ESCOVA LAVADEIRA DE NYLON</t>
  </si>
  <si>
    <t>ESPATULA REFORÇADA</t>
  </si>
  <si>
    <t>ESPONJA DPL FACE S.BRITH 75x1</t>
  </si>
  <si>
    <t>FIBRA LT BRC MACIA S.BRITH / 102</t>
  </si>
  <si>
    <t>FIBRA LT VERDE U.GERAL S.BRITH</t>
  </si>
  <si>
    <t>FILTRO DESC. WAP 10 LTDA</t>
  </si>
  <si>
    <t>FITA ZEBRADA AM/PRETA 10X30</t>
  </si>
  <si>
    <t>FLANELA BRANCA 30x40</t>
  </si>
  <si>
    <t>LAMINA BORRACHA 25 CM UNGER</t>
  </si>
  <si>
    <t>LAMINA BORRACHA 35 CM UNGER</t>
  </si>
  <si>
    <t>LAMINA BORRACHA 45 CM UNGER</t>
  </si>
  <si>
    <t>LAMINA BORRACHA 55 CM UNGER</t>
  </si>
  <si>
    <t>LIMPA FERRUGEM SEMORIM 50 ML</t>
  </si>
  <si>
    <t>LUSTRA MOVEIS BRILHO JONHSON</t>
  </si>
  <si>
    <t>LUVA BORR MEDIA C/FORRO SANRO</t>
  </si>
  <si>
    <t>LUVA BORR C/VERNIZ AMAR - G</t>
  </si>
  <si>
    <t>LUVA BORR C/VERNIZ AMAR - M</t>
  </si>
  <si>
    <t>LUVA BORR C/VERNIZ AMAR - P</t>
  </si>
  <si>
    <t>LUVA BORR SANRO GRD FORRO VERD</t>
  </si>
  <si>
    <t>LUVA BORR SANRO MED FORRO VERD</t>
  </si>
  <si>
    <t>LUVA BORR SANRO GRD C/FORRO</t>
  </si>
  <si>
    <t>LUVA DE LAVAR UNGER 35 CM</t>
  </si>
  <si>
    <t>LUVA PROCEDIMENTO (BLOWTEX)</t>
  </si>
  <si>
    <t>LUVA RASPA PUNHO 7 CM</t>
  </si>
  <si>
    <t>MACACAO TREVIRA AMARELO</t>
  </si>
  <si>
    <t>MASC. DESC. 3M COD. 8720</t>
  </si>
  <si>
    <t>MASC. PERM. C/FILTRO (CA789 PROT)</t>
  </si>
  <si>
    <t>MASC. PO DESC. 3M COD. 8500</t>
  </si>
  <si>
    <t>MAT. DIVERSOS 1092 P/PRUDENTE</t>
  </si>
  <si>
    <t>MOP PO COMP. 60 CM C.CB.ALUM</t>
  </si>
  <si>
    <t>OLEO DE MAMONA LA. PABA</t>
  </si>
  <si>
    <t>PA DE LIXO TERRALE</t>
  </si>
  <si>
    <t>PA P/LIXO CB CURTO 30 CM</t>
  </si>
  <si>
    <t>PA P/LIXO CB LONGO 65 CM</t>
  </si>
  <si>
    <t>PALHA AÇO FINA</t>
  </si>
  <si>
    <t>PALHA AÇO GROSSA</t>
  </si>
  <si>
    <t>PANO DE 1ª SACO ALG. ALVEJADO</t>
  </si>
  <si>
    <t>PANO DE PIA COLORIDO</t>
  </si>
  <si>
    <t>P. HIGIEN. 8x500 IDEAL PRATIC PLUS</t>
  </si>
  <si>
    <t>P.HIGIEN. DAMA/BOB FL.BRC PIC 40</t>
  </si>
  <si>
    <t>P. HIGIEN. MAX ROLAO 300 MTS</t>
  </si>
  <si>
    <t>P.TOALHA BOBINA BCO 20 x 200 c/4</t>
  </si>
  <si>
    <t>P.TOAHA SERRA INT. BCO 23x23</t>
  </si>
  <si>
    <t>POLIDOR DE METAIS BRASSO</t>
  </si>
  <si>
    <t>POLIDOR METAIS 200 ML</t>
  </si>
  <si>
    <t>PROTETOR AURIC. PLUG SILICONE</t>
  </si>
  <si>
    <t>PULV. MANUEL 1/2 LT</t>
  </si>
  <si>
    <t>REFIL BORRACHA 30 CM</t>
  </si>
  <si>
    <t>REFIL P/RODO ALUM. 100 CM</t>
  </si>
  <si>
    <t>REFIL P/RODO ALUM. 40 CM</t>
  </si>
  <si>
    <t>REFIL P/RODO ALUM. 60 CM</t>
  </si>
  <si>
    <t>REMOVEDOR CARP. 501 HINGIDOR</t>
  </si>
  <si>
    <t>REMOVEDOR COMUM P/MANCHAS</t>
  </si>
  <si>
    <t>REMOVEDOR DE CERA 3M</t>
  </si>
  <si>
    <t>RODO MAD. 100 MTS REFORÇADO</t>
  </si>
  <si>
    <t>RODO MAD. SIMPLES 40 CM CB MAD</t>
  </si>
  <si>
    <t>RODO MAD. SIMPLES 60 CM CB MAD</t>
  </si>
  <si>
    <t>SABONETE 20 LT PRATIC PLUS IDEAL</t>
  </si>
  <si>
    <t>SABONETE DOVE PEDRA</t>
  </si>
  <si>
    <t>SABON. LIQ. DOVE/LEVER COD. 2419</t>
  </si>
  <si>
    <t>SABONETEIRA GLOBO</t>
  </si>
  <si>
    <t>SACO AZUL 90 LT P/CARRO FUNC</t>
  </si>
  <si>
    <t>SACO DE LIXO VERDE 100 LTS</t>
  </si>
  <si>
    <t>SACO DE LIXO VERDE 60 LTS</t>
  </si>
  <si>
    <t>SACO P/ CARRO FUNC. AMARELO</t>
  </si>
  <si>
    <t>SACO P/LIXO 40 LT VERDE</t>
  </si>
  <si>
    <t>SACO P/LIXO AMARELO 100 LTS</t>
  </si>
  <si>
    <t>SACO P/LIXO AZUL 100 LTS</t>
  </si>
  <si>
    <t>SACO P/LIXO BRANCO 40 LTS</t>
  </si>
  <si>
    <t>SACO P/LIXO BRANCO 60 LTS</t>
  </si>
  <si>
    <t>SACO P/LIXO BRANCO 100 LTS</t>
  </si>
  <si>
    <t>SACO P/LIXO PRETO 100 LTS</t>
  </si>
  <si>
    <t>SACO P/LIXO PRETO 60 LTS</t>
  </si>
  <si>
    <t>SACO P/LIXO PRETO 200 LTS</t>
  </si>
  <si>
    <t>SACO P/LIXO VERM 100 LTS</t>
  </si>
  <si>
    <t>SAPOLIO PEDRA RADIUM 200 GR</t>
  </si>
  <si>
    <t>VASS. PIAÇAVA N 5</t>
  </si>
  <si>
    <t>VASSOURA DE PELO 40 C/CABO MAD</t>
  </si>
  <si>
    <t>VASSOURA ECOLOGICA V4</t>
  </si>
  <si>
    <t>VASSOURA LAVATINA NYLON C.MAD</t>
  </si>
  <si>
    <t>VASSOURA MAGICA COMPLETA</t>
  </si>
  <si>
    <t>VASSOURA PELO 30CM C. MAD 1.22</t>
  </si>
  <si>
    <t>VASSOURA PELO 60 CM C.MAD 1.22</t>
  </si>
  <si>
    <t>ALCOOL PURO 70%</t>
  </si>
  <si>
    <t>ALVEJANTE BACT HIPOCL. SODIO</t>
  </si>
  <si>
    <t>BALDE PLAST. DE 20 LTS</t>
  </si>
  <si>
    <t>CERA IMPERM. REALCE 3M</t>
  </si>
  <si>
    <t>CERA PLAST. PRETA P/SINTEKO L.18</t>
  </si>
  <si>
    <t>DESINF. CONCENTRAX PINHO CX.100</t>
  </si>
  <si>
    <t>DETERG. EM PO ALVO COD 2695 5K</t>
  </si>
  <si>
    <t>ESTOPA BRANCA DE 1ª</t>
  </si>
  <si>
    <t>FIBRA LT VERDE USO GERAL S.BRITH</t>
  </si>
  <si>
    <t>LUSTA MOVEIS BRILHO - 500 ML</t>
  </si>
  <si>
    <t>PA P/LIXO CABO CURTO 30 CM</t>
  </si>
  <si>
    <t>PALHA DE AÇO FINA</t>
  </si>
  <si>
    <t>PANO DE LIMPEZA DE 1ª - SACO ALV</t>
  </si>
  <si>
    <t>P.HIGIEN. NEVE FD C/64 ROLOS</t>
  </si>
  <si>
    <t>P.TOALHA SERRAN INTERF.BRC 1000</t>
  </si>
  <si>
    <t>RODO  MAD SIMPLES 40 CM CB MAD</t>
  </si>
  <si>
    <t>RODO MAD SIMPLES 60 CM CB MAD</t>
  </si>
  <si>
    <t>RODO UNGER 35 CM</t>
  </si>
  <si>
    <t>SABAO EM PEDRA DE COCO 200 GR</t>
  </si>
  <si>
    <t>SABON. LIQ.PEROLIZ SOFT GEL-BB50</t>
  </si>
  <si>
    <t>SACO DE LIXO 100 LTS PRETO</t>
  </si>
  <si>
    <t>SACO DE LIXO 200 LTS PRETO</t>
  </si>
  <si>
    <t>SACO DE LIXO 40 LTS VERDE</t>
  </si>
  <si>
    <t>SACO DE LIXO 60 LTS</t>
  </si>
  <si>
    <t>TELA DESOD. S/PREDRA IDEAL</t>
  </si>
  <si>
    <t>VASS. PIAÇAVA N.5 CB MAD 1.22</t>
  </si>
  <si>
    <t>VASS. TP PREF. PIAÇAVA 40 CM 1.22</t>
  </si>
  <si>
    <t>CONJTO BALDE PLAST/EXPREMEDOR</t>
  </si>
  <si>
    <t>REFIL MOP UMIDO TONKI</t>
  </si>
  <si>
    <t>CABO DE ALUM. MOP UMIDO TONKI</t>
  </si>
  <si>
    <t>SUPORTE LIMPA TUDO C/CB-BRALIMP</t>
  </si>
  <si>
    <t>ESCADA DE 05 DEGRAUS</t>
  </si>
  <si>
    <t>MANGUEIRA 30 MTS</t>
  </si>
  <si>
    <t>CONJTO MO PO PROF. 60 CM</t>
  </si>
  <si>
    <t>Ver planilhas analiticas anexas</t>
  </si>
  <si>
    <t>Carga Horária Mensal</t>
  </si>
  <si>
    <t>Quantidade de Pessoal</t>
  </si>
  <si>
    <t>+</t>
  </si>
  <si>
    <t>Encargos Sociais Incidentes</t>
  </si>
  <si>
    <t>Outros</t>
  </si>
  <si>
    <t>Qtd. de dias Trab. No mês</t>
  </si>
  <si>
    <t>DESPESAS OPERACIONAIS COM .....</t>
  </si>
  <si>
    <t>Média Mensal de Utilização do Veículo/Equip.:</t>
  </si>
  <si>
    <t>Valor do Veículo/Equip.:</t>
  </si>
  <si>
    <t>Custo/h</t>
  </si>
  <si>
    <t>% Para Manutenção</t>
  </si>
  <si>
    <t>Manutenção Mensal</t>
  </si>
  <si>
    <t>Manutenção e Peças - Equipamentos</t>
  </si>
  <si>
    <t>DESPESAS OPERACIONAIS COM VEÍCULO:</t>
  </si>
  <si>
    <t>Folguista</t>
  </si>
  <si>
    <t>H</t>
  </si>
  <si>
    <t>Obs: O Uniforme e EPI  são pagos por empregado, assim, nesse caso deverá ser ao orçado pela a quantidade de Empregados em Jornada Normal "mais" Empregados em Jornada de Escala "mais" os Folguistas de Escala (se houver) "mais" os Folguistas de Folgas Agrupadas (se houver) .</t>
  </si>
  <si>
    <t>Emissão da Nota Fiscal</t>
  </si>
  <si>
    <t>( - ) IRPJ (Retido em NF)</t>
  </si>
  <si>
    <t>(+) Crédito de Pis  1,65%</t>
  </si>
  <si>
    <t>( - ) ISS (Retido em NF)</t>
  </si>
  <si>
    <t>(+) Crédito de Cofins 7,60%</t>
  </si>
  <si>
    <t>( - ) COFINS (Retido em NF)</t>
  </si>
  <si>
    <t>( - ) PIS</t>
  </si>
  <si>
    <t>( - ) PIS (Retido em NF)</t>
  </si>
  <si>
    <t>( - ) COFINS</t>
  </si>
  <si>
    <t>( - ) CSLL (Retido em NF)</t>
  </si>
  <si>
    <t>( - ) ISS</t>
  </si>
  <si>
    <t>( - ) INSS (Retido em NF)</t>
  </si>
  <si>
    <t>Receitas Líquida</t>
  </si>
  <si>
    <t>Total das Retenções</t>
  </si>
  <si>
    <t>( - ) Custo dos Serviços</t>
  </si>
  <si>
    <t>Valor Após as Retenções</t>
  </si>
  <si>
    <t>Lucro Bruto</t>
  </si>
  <si>
    <t>( - ) Despesas Administrativas</t>
  </si>
  <si>
    <t>( - ) Salários Pagos + Benefíicos</t>
  </si>
  <si>
    <t>Resultado antes do IRPJ e CSLL</t>
  </si>
  <si>
    <t>( - ) Encargos Sociais Recolhidos</t>
  </si>
  <si>
    <t>Provisão IRPJ</t>
  </si>
  <si>
    <t>Provisão IRPJ - Diferença</t>
  </si>
  <si>
    <t>Provisão CSLL</t>
  </si>
  <si>
    <t>Saldo de Caixa</t>
  </si>
  <si>
    <t>Lucro Líquido</t>
  </si>
  <si>
    <t>Recebido pela Empresa</t>
  </si>
  <si>
    <t>Fluxo de Caixa do Orçamento (Mensal)</t>
  </si>
  <si>
    <t>Demonstrativo de Resultado do Orçamento (Mensal)</t>
  </si>
  <si>
    <t>Aviso Prévio Trabalhado</t>
  </si>
  <si>
    <t>Escala de Revezamento</t>
  </si>
  <si>
    <t>Escala de Serviço</t>
  </si>
  <si>
    <t>Qtd de dias no mês</t>
  </si>
  <si>
    <t>Qtd de dias trabalhados</t>
  </si>
  <si>
    <t>por</t>
  </si>
  <si>
    <t>Qtd de dias de folga</t>
  </si>
  <si>
    <t>B + C</t>
  </si>
  <si>
    <t>Folgas por mês</t>
  </si>
  <si>
    <t>A / D</t>
  </si>
  <si>
    <t>Qtd de dias trabalhados no mês</t>
  </si>
  <si>
    <t>B X E</t>
  </si>
  <si>
    <t>Dias trabalhados</t>
  </si>
  <si>
    <t>Folgas</t>
  </si>
  <si>
    <t xml:space="preserve">Qtd. Folguista </t>
  </si>
  <si>
    <t>Dias úteis da semana</t>
  </si>
  <si>
    <t xml:space="preserve">   B x C (dias úteis na semana)</t>
  </si>
  <si>
    <t xml:space="preserve"> (Segunda a Sábado = 6 dias; ou Segunda a Sexta = 5 dias )</t>
  </si>
  <si>
    <t>Salário Base R$</t>
  </si>
  <si>
    <t xml:space="preserve">  D - F</t>
  </si>
  <si>
    <t xml:space="preserve">  G / 12 (meses ano)</t>
  </si>
  <si>
    <t>Cotação por:</t>
  </si>
  <si>
    <t>Total Geral:</t>
  </si>
  <si>
    <t>SIMULAÇÃO (Mensal)</t>
  </si>
  <si>
    <r>
      <t xml:space="preserve">VALOR TOTAL MENSAL </t>
    </r>
    <r>
      <rPr>
        <b/>
        <sz val="8"/>
        <color indexed="18"/>
        <rFont val="Arial"/>
        <family val="2"/>
      </rPr>
      <t>(SUBTOTAL I + SUBTOTAL II):</t>
    </r>
  </si>
  <si>
    <r>
      <t xml:space="preserve">SUBTOTAL I </t>
    </r>
    <r>
      <rPr>
        <b/>
        <sz val="8"/>
        <color indexed="18"/>
        <rFont val="Arial"/>
        <family val="2"/>
      </rPr>
      <t>(I + II + III):</t>
    </r>
  </si>
  <si>
    <t>REMUNERAÇÃO X 23,33% = A</t>
  </si>
  <si>
    <t>A  X  (MC) % = B</t>
  </si>
  <si>
    <t>(C) / (1 - % ET) ] = D</t>
  </si>
  <si>
    <r>
      <t xml:space="preserve">1. O total de encargos sociais não contempla o componente de custo relativo ao “aviso prévio final de contrato”, uma vez que a INFRAERO somente indenizará a Contratada, uma única vez, ao final do contrato (último pagamento) no valor correspondente a 23,33% do Item I – Remuneração de Pessoal da Planilha de Custos e Formação de Preços (7/30 x 100). Sobre o valor apurado incidirá o percentual da Margem de Contribuição e Encargos Tributários incidentes sobre o Faturamento. Ou seja, </t>
    </r>
    <r>
      <rPr>
        <b/>
        <i/>
        <u/>
        <sz val="8"/>
        <color indexed="18"/>
        <rFont val="Arial"/>
        <family val="2"/>
      </rPr>
      <t>o valor da indenização referente ao final do contrato não deverá ser pago se houver prorrogação do prazo e só será pago na rescisão contratual.</t>
    </r>
    <r>
      <rPr>
        <b/>
        <i/>
        <sz val="8"/>
        <color indexed="18"/>
        <rFont val="Arial"/>
        <family val="2"/>
      </rPr>
      <t xml:space="preserve"> </t>
    </r>
  </si>
  <si>
    <t>Abono de Férias</t>
  </si>
  <si>
    <t xml:space="preserve">Férias </t>
  </si>
  <si>
    <t>10 - Abono de Férias</t>
  </si>
  <si>
    <t>11 - Auxílio Doença</t>
  </si>
  <si>
    <t>12 - Licença Paternidade/Maternidade</t>
  </si>
  <si>
    <t>13 - Faltas Legais</t>
  </si>
  <si>
    <t>14 - Acidentes de Trabalho</t>
  </si>
  <si>
    <t>15 - Aviso Prévio Trabalhado</t>
  </si>
  <si>
    <t>18 - Indenização Adicional</t>
  </si>
  <si>
    <t>19 - Indenização e provisão de 50% de FGTS</t>
  </si>
  <si>
    <t>Adicional II</t>
  </si>
  <si>
    <t>Criar Planilha que melhor atender para formação do valor Adicional II</t>
  </si>
  <si>
    <r>
      <t xml:space="preserve">Custo com Salários e Encargos               </t>
    </r>
    <r>
      <rPr>
        <b/>
        <sz val="8"/>
        <color indexed="18"/>
        <rFont val="Arial"/>
        <family val="2"/>
      </rPr>
      <t>( I + II )</t>
    </r>
  </si>
  <si>
    <t xml:space="preserve">                                                                                         TOTAL          III</t>
  </si>
  <si>
    <t xml:space="preserve">                                                                                                        TOTAL          ( I + II + III )</t>
  </si>
  <si>
    <r>
      <t xml:space="preserve">Encargos Tributários  </t>
    </r>
    <r>
      <rPr>
        <b/>
        <sz val="7"/>
        <color indexed="18"/>
        <rFont val="Arial"/>
        <family val="2"/>
      </rPr>
      <t>( TOTAL + DA) / (1 - % ET) ] x %ET</t>
    </r>
  </si>
  <si>
    <t>Aviso Prévio Indenizado</t>
  </si>
  <si>
    <t>Uniforme/EPI e EPC Completo</t>
  </si>
  <si>
    <t xml:space="preserve">UNIFORME E EPI </t>
  </si>
  <si>
    <t>SIMULAÇÃO (Anual)</t>
  </si>
  <si>
    <t>( - ) Férias + 13º Salário</t>
  </si>
  <si>
    <t>Fluxo de Caixa do Orçamento (Anual)</t>
  </si>
  <si>
    <t>Demonstrativo de Resultado do Orçamento (Anual)</t>
  </si>
  <si>
    <t>Valor Residual R$</t>
  </si>
  <si>
    <t>horas</t>
  </si>
  <si>
    <t>Projeto Físico</t>
  </si>
  <si>
    <t>Turno- h</t>
  </si>
  <si>
    <t>ADM</t>
  </si>
  <si>
    <t>X</t>
  </si>
  <si>
    <t>Regime</t>
  </si>
  <si>
    <t>Total de Postos</t>
  </si>
  <si>
    <t>Área de Atuação</t>
  </si>
  <si>
    <t>Local do Posto de Trabalho</t>
  </si>
  <si>
    <t>08:00        X       17:00</t>
  </si>
  <si>
    <t>00:00       X      08:00</t>
  </si>
  <si>
    <t>00:00       x          06:00</t>
  </si>
  <si>
    <t>06:00       x          12:00</t>
  </si>
  <si>
    <t>12:00       x          18:00</t>
  </si>
  <si>
    <t>18:00       x          24:00</t>
  </si>
  <si>
    <t>Folguistas contemplam as folgas normais e as folgas agrupadas.</t>
  </si>
  <si>
    <t>Folguista de Escala</t>
  </si>
  <si>
    <t>Folguistas</t>
  </si>
  <si>
    <t>17 - Aviso Prévio Indenizado</t>
  </si>
  <si>
    <t>16 - 13º Salário</t>
  </si>
  <si>
    <t>Qtd. Postos</t>
  </si>
  <si>
    <t>Blusa Feminina</t>
  </si>
  <si>
    <t>Boné</t>
  </si>
  <si>
    <t>Bota de Borracha</t>
  </si>
  <si>
    <t>Calça</t>
  </si>
  <si>
    <t>Calça de chuva</t>
  </si>
  <si>
    <t>Calça Social</t>
  </si>
  <si>
    <t>Calça/Saia</t>
  </si>
  <si>
    <t>Calça/Saia social</t>
  </si>
  <si>
    <t>Calçado</t>
  </si>
  <si>
    <t>Calçado preto hidrofugado</t>
  </si>
  <si>
    <t>Camisa</t>
  </si>
  <si>
    <t>Camisa / Blusa social</t>
  </si>
  <si>
    <t>Capa de chuva</t>
  </si>
  <si>
    <t>Capacete de segurança</t>
  </si>
  <si>
    <t>Cardigan</t>
  </si>
  <si>
    <t>Cinto</t>
  </si>
  <si>
    <t>Cinto Social</t>
  </si>
  <si>
    <t>Cj. Calça e blusa</t>
  </si>
  <si>
    <t>Colete refletivo</t>
  </si>
  <si>
    <t>Gravata</t>
  </si>
  <si>
    <t>Luva de borracha</t>
  </si>
  <si>
    <t>Luva de borracha cano curto</t>
  </si>
  <si>
    <t>Luva de borracha cano longo</t>
  </si>
  <si>
    <t>Luva de raspa cano longo</t>
  </si>
  <si>
    <t>Luva latéx</t>
  </si>
  <si>
    <t>Luva raspa</t>
  </si>
  <si>
    <t>Máscara contra pó (descartável)</t>
  </si>
  <si>
    <t>Máscara descartável</t>
  </si>
  <si>
    <t>Máscara tipo focinheira</t>
  </si>
  <si>
    <t>Óculos de segurança</t>
  </si>
  <si>
    <t>Paletó/Blazer</t>
  </si>
  <si>
    <t>Protetor auricular tipo concha</t>
  </si>
  <si>
    <t>Protetor auricular tipo Plug</t>
  </si>
  <si>
    <t>Rede / Cabelo</t>
  </si>
  <si>
    <t>Sapato</t>
  </si>
  <si>
    <t>Sapato preto hidrofugado</t>
  </si>
  <si>
    <t>Sapato Social</t>
  </si>
  <si>
    <t>Sapato social preto</t>
  </si>
  <si>
    <t>Stalabart duplo</t>
  </si>
  <si>
    <t>Stalabart simples</t>
  </si>
  <si>
    <t>Sueter/Cardigan</t>
  </si>
  <si>
    <t>Touca</t>
  </si>
  <si>
    <t>2.4 - IMPOSTO SIMPLES</t>
  </si>
  <si>
    <t>2.4 - IMPOSTO SIMPLES                                até</t>
  </si>
  <si>
    <t>4. Conforme art. 13 da LCP 123/2006, o Imposto SIMPLES - IP compreende, dentre outros, os seguintes tributos: COFINS, PIS e ISS.</t>
  </si>
  <si>
    <t>5. Proposta elaborada com base na seguinte Convênção Coletiva de trabalho:</t>
  </si>
  <si>
    <t>Custo Total por Posto</t>
  </si>
  <si>
    <t>( - ) IMPOSTO SIMPLES</t>
  </si>
  <si>
    <t>( - ) Salários Pagos + Benefícios</t>
  </si>
  <si>
    <t>( - ) Material/Equip./Veiculos/Mant.</t>
  </si>
  <si>
    <t>Folguista Rendição</t>
  </si>
  <si>
    <t xml:space="preserve">09 - Férias </t>
  </si>
  <si>
    <t>% Adicional (Coluna 25):</t>
  </si>
  <si>
    <t>Folga Rendição</t>
  </si>
  <si>
    <t>Folga Agrupada</t>
  </si>
  <si>
    <t>Rendição</t>
  </si>
  <si>
    <t>meses</t>
  </si>
  <si>
    <t>Folguista (S)</t>
  </si>
  <si>
    <t>Rendição (S)</t>
  </si>
  <si>
    <t>20 - Incid. do "Grupo A" sobre os itens do "Grupo B" + item 17 - item 10</t>
  </si>
  <si>
    <t>Incidência do Grupo A sobre os itens do Grupo B + item 17 - item 10</t>
  </si>
  <si>
    <r>
      <t xml:space="preserve">IV. 1 - MARGEM DE CONTRIBUIÇÃO </t>
    </r>
    <r>
      <rPr>
        <sz val="8"/>
        <color indexed="18"/>
        <rFont val="Arial"/>
        <family val="2"/>
      </rPr>
      <t>(Despesas Administrativas e Lucro)</t>
    </r>
  </si>
  <si>
    <t>3. A licitante adjudicatária deverá comprovar o regime tributário a que esta sujeita. No caso de lucro presumido o PIS e a COFINS serão limitados a 0,65% e 3,00%, respectivamente, na forma definida na Lei nº 10.833/03. O serviço de Vigilância e Segurança diciplinado pela Lei 7.102/83, terá a alíquota da COFINS de 3% , mesmo que tenha regime de tributação Lucro Real, em conformidade com o disposto no Art. 10 da Lei 10.833/03 e 0,65% para PIS conforme art. 8º da Lei 10.637/02.</t>
  </si>
  <si>
    <t xml:space="preserve">Observação: </t>
  </si>
  <si>
    <r>
      <t xml:space="preserve">1º) </t>
    </r>
    <r>
      <rPr>
        <sz val="10"/>
        <color indexed="18"/>
        <rFont val="Arial"/>
      </rPr>
      <t xml:space="preserve">O total de encargos sociais não contempla o componente de custo relativo ao “aviso prévio final de contrato”, uma vez que a INFRAERO somente indenizará a Contratada ao final do contrato (último pagamento) no valor correspondente a </t>
    </r>
    <r>
      <rPr>
        <b/>
        <sz val="10"/>
        <color indexed="18"/>
        <rFont val="Arial"/>
      </rPr>
      <t>23,33%</t>
    </r>
    <r>
      <rPr>
        <sz val="10"/>
        <color indexed="18"/>
        <rFont val="Arial"/>
      </rPr>
      <t xml:space="preserve"> do Item I – Remuneração de Pessoal da Planilha de Custos e Formação de Preços (7/30 x 100). Sobre o valor apurado incidirá o percentual da Margem de Contribuição e Encargos Tributários incidentes sobre o Faturamento. </t>
    </r>
  </si>
  <si>
    <t>coluna az</t>
  </si>
  <si>
    <t xml:space="preserve">2.1 Admitir-se-á percentual superior ao estabelecido para os Encargos Tributários - ET quando as licitantes forem optantes do Simples Nacional. Neste caso as licitantes deverão informar em que Anexo da Lei Complementar nº 123/2006 suas atividades serão tributadas. </t>
  </si>
  <si>
    <t xml:space="preserve">%  HNR:  </t>
  </si>
  <si>
    <t>Remuneração por Posto</t>
  </si>
  <si>
    <t>2.2 As empresas optantes do Regime de Tributação Simples Nacional poderão cotar percentuais de tributos referentes a outros Regime, desde que declare sob pena da Lei que estará alterando o seu regime, nos termos da Legislação Vigente.  Caso não seja comprovada a alteração do Regime,  a INFRAERO fará as devidas adequações dos valores do contrato e, em decorrência, reduzido os valores cobrados a maior referentes aos tributos/impostos.</t>
  </si>
  <si>
    <t>Piso salarial</t>
  </si>
  <si>
    <t xml:space="preserve">7.1 Fator Acidentário de Prevenção – FAP </t>
  </si>
  <si>
    <t>Encargos Sociais  (observar nota 2.3)</t>
  </si>
  <si>
    <t>2.3 Nas contratações dos serviços contínuos de limpeza e conservação, vigilância, segurança, proteção e outros, o percentual teto a ser usado na licitação será de 69,50%, sem o Fator Acidentário – FAP, podendo ser acrescido em até 3% no Grupo A com seus efeitos no Grupo D em até 0,58%, desde que comprovado, conforme o disposto no § 5 do artigo 202-A do Regulamento da Previdência Social.</t>
  </si>
  <si>
    <t>1. O total de encargos sociais não contempla o componente de custo relativo ao “aviso prévio final de contrato”, uma vez que a INFRAERO somente indenizará a Contratada, uma única vez, ao final do contrato (último pagamento) no valor correspondente a 23,33</t>
  </si>
  <si>
    <t>2.1 Admitir-se-á percentual superior ao estabelecido para os Encargos Tributários - ET quando as licitantes forem optantes do Simples Nacional. Neste caso as licitantes deverão informar em que Anexo da Lei Complementar nº 123/2006 suas atividades serão tr</t>
  </si>
  <si>
    <t>2.2 As empresas optantes do Regime de Tributação Simples Nacional poderão cotar percentuais de tributos referentes a outros Regime, desde que declare sob pena da Lei que estará alterando o seu regime, nos termos da Legislação Vigente.  Caso não seja compr</t>
  </si>
  <si>
    <t>2.3 Nas contratações dos serviços contínuos de limpeza e conservação, vigilância, segurança, proteção e outros, o percentual teto a ser usado na licitação será de 69,50%, sem o Fator Acidentário – FAP, podendo ser acrescido em até 3% no Grupo A com seus e</t>
  </si>
  <si>
    <t xml:space="preserve">3. A licitante adjudicatária deverá comprovar o regime tributário a que esta sujeita. No caso de lucro presumido o PIS e a COFINS serão limitados a 0,65% e 3,00%, respectivamente, na forma definida na Lei nº 10.833/03. O serviço de Vigilância e Segurança </t>
  </si>
  <si>
    <t>R$ Valor da Hora Diurna</t>
  </si>
  <si>
    <t>Qtda de horas Noturnas</t>
  </si>
  <si>
    <t>R$ Valor Do Adicional Noturno</t>
  </si>
  <si>
    <t>Repouso Remunerado e Outros Adicionais</t>
  </si>
  <si>
    <t>TOTAL      Adic. Noturno R$</t>
  </si>
  <si>
    <t>TOTAL               Repouso Remunerado  E Outros Adicionais R$</t>
  </si>
  <si>
    <t>TOTAL          Folguistas  R$</t>
  </si>
  <si>
    <t>Custo médio por Posto de serviços</t>
  </si>
  <si>
    <t>Adic. Noturno Reduzido</t>
  </si>
  <si>
    <t>Efetivo Total :</t>
  </si>
  <si>
    <t>P ou  I ou R</t>
  </si>
  <si>
    <t>Valor p/ cálculo Insalubridade ou  Risco de Vida</t>
  </si>
  <si>
    <t>Insalubridade/ Periculosidade / Risco de vida</t>
  </si>
  <si>
    <t>I</t>
  </si>
  <si>
    <t>P</t>
  </si>
  <si>
    <t>R</t>
  </si>
  <si>
    <t>Periculosidade/ Insalubridade/ Risco de Vida</t>
  </si>
  <si>
    <t>TOTAL Periculosidade e/ou Insalubridade ou Risco de Vida R$</t>
  </si>
  <si>
    <t>% Periculo. ou Insalub. ou Risco de Vida</t>
  </si>
  <si>
    <t>SBGL</t>
  </si>
  <si>
    <t>Contratação de empresa para prestação dos serviços de Vigilância  Armada Motorizada para o Aeroporto Internacional do Rio de Janeiro/Galeão - Antonio Carlos Jobim</t>
  </si>
  <si>
    <t>Planilha de Custos e Formação de Preços de Serviços Contínuos de Vigilância Armada Motorizada para o SBGL</t>
  </si>
  <si>
    <t>AEROPORTO INTERNACIONAL DO RIO DE JANEIRO/GALEÃO - ANTONIO CARLOS JOBIM</t>
  </si>
  <si>
    <t>Vigilante Patrulha 05 Eixo Viário Móvel DIURNO</t>
  </si>
  <si>
    <t>Vigilante Patrulha 06 Sistema 15 x 33 DIURNO</t>
  </si>
  <si>
    <t>Vigilante Patrulha 06 Sistema 15 x 33 NOTURNO</t>
  </si>
  <si>
    <t>Vigilante Patrulha 08 Eixo Viário Fixo DIURNO</t>
  </si>
  <si>
    <t>Vigilante Patrulha 08 Eixo Viário Fixo NOTURNO</t>
  </si>
  <si>
    <t>Vigilante Patrulha 10 Sistema 10 x 28 DIURNO</t>
  </si>
  <si>
    <t>Vigilante Patrulha 10 Sistema 10 x 28 NOTURNO</t>
  </si>
  <si>
    <t>Vigilante Patrulha 11 Supervisão DIURNO</t>
  </si>
  <si>
    <t>Vigilante Patrulha 11 Supervisão NOTURNO</t>
  </si>
  <si>
    <t>Supervisor Patrulha 11 Supervisão DIURNO</t>
  </si>
  <si>
    <t>Supervisor Patrulha 11 Supervisão NOTURNO</t>
  </si>
  <si>
    <t>Vigilante Patrulha 05 Eixo Viário Móvel NOTURNO</t>
  </si>
  <si>
    <t>AIRJ</t>
  </si>
  <si>
    <t>S</t>
  </si>
  <si>
    <t>H24</t>
  </si>
  <si>
    <t>07:00       X      19:00</t>
  </si>
  <si>
    <t>19:00       X      07:00</t>
  </si>
  <si>
    <t>CAMISA MANGA CURTA</t>
  </si>
  <si>
    <t xml:space="preserve">CALÇA </t>
  </si>
  <si>
    <t>CINTO DE NYLON</t>
  </si>
  <si>
    <t>JAQUETA/AGASALHO</t>
  </si>
  <si>
    <t>QUEPE/BONÉ</t>
  </si>
  <si>
    <t>SAPATO PRETO</t>
  </si>
  <si>
    <t>MEIAS</t>
  </si>
  <si>
    <t>CAPA DE CHUVA</t>
  </si>
  <si>
    <t>PROTETOR AURICULAR TIPO PLUG</t>
  </si>
  <si>
    <t>COLDRE</t>
  </si>
  <si>
    <t>FIEL</t>
  </si>
  <si>
    <t>COLETE REFLEXIVO</t>
  </si>
  <si>
    <t>CINTO P/VIGILANTE</t>
  </si>
  <si>
    <t>COTURNO</t>
  </si>
  <si>
    <t>APITO</t>
  </si>
  <si>
    <t>LANTERNA LONGO ALCANCE</t>
  </si>
  <si>
    <t>CONE DE SINALIZAÇÃO</t>
  </si>
  <si>
    <t>FITA ZEBRADA</t>
  </si>
  <si>
    <t>CASSETETE</t>
  </si>
  <si>
    <t>RÁDIO DE COMUNICAÇÃO PORTÁTIL (HT)</t>
  </si>
  <si>
    <t>RÁDIO DE COMUNICAÇÃO PORTÁTIL (FIXO)</t>
  </si>
  <si>
    <t>FAROL ROTATIVO</t>
  </si>
  <si>
    <t>REVÓLVER CALIBRE 38</t>
  </si>
  <si>
    <t>MUNIÇÃO CALIBRE 38</t>
  </si>
  <si>
    <t>COLETE BALÍSTICO</t>
  </si>
  <si>
    <t>FAROL LONGO ALCANCE</t>
  </si>
  <si>
    <t>NOVO</t>
  </si>
  <si>
    <t>VEÍCULO PASSEIO 4 PORTAS</t>
  </si>
  <si>
    <t>0 KM</t>
  </si>
  <si>
    <t>Livro de Ocorrências</t>
  </si>
  <si>
    <t>Pasta de Documentos</t>
  </si>
  <si>
    <t>SEGURO DE VEÍCULOS LADO "AR"</t>
  </si>
  <si>
    <t>Qtd. de Veículos</t>
  </si>
  <si>
    <t>O valor do Adicional II corresponde ao ressarcimento do seguro dos 05 (cinco) veículos que irão acessar o lado "AR" com os encargos tributários.</t>
  </si>
</sst>
</file>

<file path=xl/styles.xml><?xml version="1.0" encoding="utf-8"?>
<styleSheet xmlns="http://schemas.openxmlformats.org/spreadsheetml/2006/main">
  <numFmts count="21"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* #,##0_);_(* \(#,##0\);_(* &quot;-&quot;??_);_(@_)"/>
    <numFmt numFmtId="168" formatCode="0.0"/>
    <numFmt numFmtId="169" formatCode="&quot;R$ &quot;#,##0.00"/>
    <numFmt numFmtId="170" formatCode="0.000"/>
    <numFmt numFmtId="171" formatCode="_(* #,##0.000_);_(* \(#,##0.000\);_(* &quot;-&quot;??_);_(@_)"/>
    <numFmt numFmtId="172" formatCode="_(* #,##0.0000_);_(* \(#,##0.0000\);_(* &quot;-&quot;??_);_(@_)"/>
    <numFmt numFmtId="173" formatCode="#,##0.0000000_);[Red]\(#,##0.0000000\)"/>
    <numFmt numFmtId="174" formatCode="\$#,##0.00"/>
    <numFmt numFmtId="175" formatCode="00"/>
    <numFmt numFmtId="176" formatCode="\$#,##0"/>
    <numFmt numFmtId="177" formatCode="_(&quot;R$&quot;* #,##0_);_(&quot;R$&quot;* \(#,##0\);_(&quot;R$&quot;* &quot;-&quot;??_);_(@_)"/>
    <numFmt numFmtId="178" formatCode="h:mm"/>
    <numFmt numFmtId="179" formatCode="0.0%"/>
    <numFmt numFmtId="180" formatCode="h:mm;@"/>
    <numFmt numFmtId="181" formatCode="_(* #,##0.0_);_(* \(#,##0.0\);_(* &quot;-&quot;??_);_(@_)"/>
    <numFmt numFmtId="182" formatCode="_-* #,##0.000000_-;\-* #,##0.000000_-;_-* &quot;-&quot;????_-;_-@_-"/>
    <numFmt numFmtId="183" formatCode="_-* #,##0.000000_-;\-* #,##0.000000_-;_-* &quot;-&quot;??????_-;_-@_-"/>
  </numFmts>
  <fonts count="123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9.4"/>
      <color indexed="12"/>
      <name val="Arial"/>
    </font>
    <font>
      <sz val="8"/>
      <color indexed="81"/>
      <name val="Tahoma"/>
    </font>
    <font>
      <b/>
      <sz val="8"/>
      <color indexed="81"/>
      <name val="Tahoma"/>
    </font>
    <font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8"/>
      <color indexed="10"/>
      <name val="Tahoma"/>
      <family val="2"/>
    </font>
    <font>
      <b/>
      <sz val="7"/>
      <name val="Arial"/>
      <family val="2"/>
    </font>
    <font>
      <sz val="8"/>
      <color indexed="23"/>
      <name val="Arial"/>
      <family val="2"/>
    </font>
    <font>
      <b/>
      <sz val="8"/>
      <color indexed="23"/>
      <name val="Arial"/>
      <family val="2"/>
    </font>
    <font>
      <sz val="6"/>
      <color indexed="22"/>
      <name val="Arial"/>
      <family val="2"/>
    </font>
    <font>
      <sz val="7"/>
      <color indexed="23"/>
      <name val="Arial"/>
      <family val="2"/>
    </font>
    <font>
      <b/>
      <sz val="8"/>
      <color indexed="12"/>
      <name val="Tahoma"/>
      <family val="2"/>
    </font>
    <font>
      <sz val="8"/>
      <color indexed="81"/>
      <name val="Tahoma"/>
      <family val="2"/>
    </font>
    <font>
      <sz val="8"/>
      <name val="Arial"/>
    </font>
    <font>
      <b/>
      <sz val="8"/>
      <color indexed="55"/>
      <name val="Arial"/>
      <family val="2"/>
    </font>
    <font>
      <sz val="8"/>
      <color indexed="55"/>
      <name val="Arial"/>
      <family val="2"/>
    </font>
    <font>
      <b/>
      <i/>
      <sz val="8"/>
      <name val="Arial"/>
      <family val="2"/>
    </font>
    <font>
      <b/>
      <sz val="10"/>
      <color indexed="81"/>
      <name val="Tahoma"/>
      <family val="2"/>
    </font>
    <font>
      <sz val="7"/>
      <color indexed="55"/>
      <name val="Arial"/>
      <family val="2"/>
    </font>
    <font>
      <b/>
      <i/>
      <sz val="8"/>
      <color indexed="55"/>
      <name val="Arial"/>
      <family val="2"/>
    </font>
    <font>
      <b/>
      <sz val="7"/>
      <color indexed="55"/>
      <name val="Arial"/>
      <family val="2"/>
    </font>
    <font>
      <b/>
      <sz val="8"/>
      <color indexed="22"/>
      <name val="Arial"/>
      <family val="2"/>
    </font>
    <font>
      <sz val="7"/>
      <name val="Arial"/>
      <family val="2"/>
    </font>
    <font>
      <b/>
      <sz val="10"/>
      <color indexed="23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7"/>
      <color indexed="10"/>
      <name val="Tahoma"/>
      <family val="2"/>
    </font>
    <font>
      <b/>
      <sz val="7"/>
      <color indexed="23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b/>
      <i/>
      <sz val="8"/>
      <color indexed="18"/>
      <name val="Arial"/>
      <family val="2"/>
    </font>
    <font>
      <i/>
      <sz val="8"/>
      <color indexed="18"/>
      <name val="Arial"/>
      <family val="2"/>
    </font>
    <font>
      <b/>
      <sz val="10"/>
      <color indexed="18"/>
      <name val="Arial"/>
      <family val="2"/>
    </font>
    <font>
      <sz val="8"/>
      <color indexed="10"/>
      <name val="Tahoma"/>
      <family val="2"/>
    </font>
    <font>
      <b/>
      <i/>
      <sz val="10"/>
      <color indexed="18"/>
      <name val="Arial"/>
      <family val="2"/>
    </font>
    <font>
      <sz val="10"/>
      <color indexed="62"/>
      <name val="Arial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12"/>
      <color indexed="62"/>
      <name val="Arial"/>
      <family val="2"/>
    </font>
    <font>
      <b/>
      <sz val="9"/>
      <color indexed="23"/>
      <name val="Arial"/>
      <family val="2"/>
    </font>
    <font>
      <b/>
      <u/>
      <sz val="8"/>
      <color indexed="81"/>
      <name val="Tahoma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1"/>
      <color indexed="18"/>
      <name val="Arial"/>
      <family val="2"/>
    </font>
    <font>
      <b/>
      <sz val="8"/>
      <color indexed="48"/>
      <name val="Tahoma"/>
      <family val="2"/>
    </font>
    <font>
      <b/>
      <sz val="12"/>
      <color indexed="62"/>
      <name val="Arial"/>
    </font>
    <font>
      <sz val="12"/>
      <color indexed="62"/>
      <name val="Arial"/>
    </font>
    <font>
      <b/>
      <sz val="10"/>
      <color indexed="62"/>
      <name val="Arial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color indexed="62"/>
      <name val="Arial"/>
    </font>
    <font>
      <sz val="8"/>
      <color indexed="62"/>
      <name val="Arial"/>
    </font>
    <font>
      <sz val="10"/>
      <color indexed="62"/>
      <name val="Arial"/>
    </font>
    <font>
      <b/>
      <sz val="10"/>
      <name val="Arial"/>
    </font>
    <font>
      <b/>
      <sz val="7"/>
      <color indexed="18"/>
      <name val="Arial"/>
      <family val="2"/>
    </font>
    <font>
      <sz val="10"/>
      <color indexed="18"/>
      <name val="Arial"/>
      <family val="2"/>
    </font>
    <font>
      <sz val="7"/>
      <color indexed="62"/>
      <name val="Arial"/>
      <family val="2"/>
    </font>
    <font>
      <b/>
      <sz val="7"/>
      <color indexed="62"/>
      <name val="Arial"/>
      <family val="2"/>
    </font>
    <font>
      <sz val="8"/>
      <color indexed="18"/>
      <name val="Arial"/>
      <family val="2"/>
    </font>
    <font>
      <sz val="9"/>
      <color indexed="18"/>
      <name val="Arial"/>
      <family val="2"/>
    </font>
    <font>
      <i/>
      <sz val="9"/>
      <color indexed="18"/>
      <name val="Arial"/>
      <family val="2"/>
    </font>
    <font>
      <sz val="7"/>
      <color indexed="18"/>
      <name val="Arial"/>
      <family val="2"/>
    </font>
    <font>
      <b/>
      <sz val="8"/>
      <color indexed="10"/>
      <name val="Arial"/>
      <family val="2"/>
    </font>
    <font>
      <b/>
      <i/>
      <u/>
      <sz val="8"/>
      <color indexed="18"/>
      <name val="Arial"/>
      <family val="2"/>
    </font>
    <font>
      <b/>
      <sz val="10"/>
      <color indexed="18"/>
      <name val="Arial"/>
    </font>
    <font>
      <sz val="10"/>
      <color indexed="18"/>
      <name val="Arial"/>
    </font>
    <font>
      <sz val="9"/>
      <color indexed="18"/>
      <name val="Arial"/>
    </font>
    <font>
      <sz val="8"/>
      <color indexed="18"/>
      <name val="Arial"/>
    </font>
    <font>
      <b/>
      <i/>
      <sz val="10"/>
      <color indexed="18"/>
      <name val="Arial"/>
    </font>
    <font>
      <sz val="8"/>
      <color indexed="23"/>
      <name val="Times New Roman"/>
      <family val="1"/>
    </font>
    <font>
      <b/>
      <sz val="11"/>
      <color indexed="9"/>
      <name val="Arial"/>
      <family val="2"/>
    </font>
    <font>
      <sz val="10"/>
      <color indexed="23"/>
      <name val="Arial"/>
    </font>
    <font>
      <b/>
      <sz val="8"/>
      <color indexed="54"/>
      <name val="Arial"/>
      <family val="2"/>
    </font>
    <font>
      <b/>
      <sz val="9"/>
      <color indexed="54"/>
      <name val="Arial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b/>
      <sz val="10"/>
      <color indexed="54"/>
      <name val="Arial"/>
      <family val="2"/>
    </font>
    <font>
      <sz val="8"/>
      <color indexed="54"/>
      <name val="Arial"/>
      <family val="2"/>
    </font>
    <font>
      <b/>
      <i/>
      <sz val="10"/>
      <color indexed="54"/>
      <name val="Arial"/>
      <family val="2"/>
    </font>
    <font>
      <sz val="8"/>
      <color indexed="54"/>
      <name val="Arial"/>
    </font>
    <font>
      <sz val="8"/>
      <color indexed="54"/>
      <name val="Times New Roman"/>
      <family val="1"/>
    </font>
    <font>
      <b/>
      <sz val="11"/>
      <color indexed="54"/>
      <name val="Arial"/>
      <family val="2"/>
    </font>
    <font>
      <sz val="10"/>
      <color indexed="54"/>
      <name val="Arial"/>
      <family val="2"/>
    </font>
    <font>
      <b/>
      <sz val="8"/>
      <color indexed="12"/>
      <name val="Arial"/>
      <family val="2"/>
    </font>
    <font>
      <sz val="10"/>
      <color indexed="9"/>
      <name val="Arial"/>
      <family val="2"/>
    </font>
    <font>
      <sz val="7"/>
      <color indexed="54"/>
      <name val="Arial"/>
      <family val="2"/>
    </font>
    <font>
      <b/>
      <i/>
      <sz val="8"/>
      <color indexed="62"/>
      <name val="Arial"/>
      <family val="2"/>
    </font>
    <font>
      <sz val="8"/>
      <color indexed="10"/>
      <name val="Arial"/>
      <family val="2"/>
    </font>
    <font>
      <b/>
      <i/>
      <vertAlign val="superscript"/>
      <sz val="10"/>
      <color indexed="18"/>
      <name val="Arial"/>
      <family val="2"/>
    </font>
    <font>
      <i/>
      <sz val="10"/>
      <color indexed="18"/>
      <name val="Arial"/>
      <family val="2"/>
    </font>
    <font>
      <b/>
      <sz val="10"/>
      <color indexed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9"/>
      <color indexed="10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color indexed="81"/>
      <name val="Tahoma"/>
      <family val="2"/>
    </font>
    <font>
      <b/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2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23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9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63"/>
      </right>
      <top style="thin">
        <color indexed="23"/>
      </top>
      <bottom style="medium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55"/>
      </left>
      <right style="medium">
        <color indexed="63"/>
      </right>
      <top style="thin">
        <color indexed="55"/>
      </top>
      <bottom style="medium">
        <color indexed="6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/>
      <top/>
      <bottom style="double">
        <color indexed="23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 style="double">
        <color indexed="23"/>
      </left>
      <right/>
      <top/>
      <bottom/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/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 style="double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/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 style="double">
        <color indexed="23"/>
      </right>
      <top style="thin">
        <color indexed="23"/>
      </top>
      <bottom style="double">
        <color indexed="23"/>
      </bottom>
      <diagonal/>
    </border>
    <border>
      <left style="double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medium">
        <color indexed="23"/>
      </right>
      <top style="thin">
        <color indexed="63"/>
      </top>
      <bottom/>
      <diagonal/>
    </border>
    <border>
      <left style="thin">
        <color indexed="6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 style="thin">
        <color indexed="63"/>
      </right>
      <top/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/>
      <bottom style="medium">
        <color indexed="23"/>
      </bottom>
      <diagonal/>
    </border>
    <border>
      <left style="thin">
        <color indexed="63"/>
      </left>
      <right style="medium">
        <color indexed="23"/>
      </right>
      <top style="thin">
        <color indexed="63"/>
      </top>
      <bottom/>
      <diagonal/>
    </border>
    <border>
      <left style="thin">
        <color indexed="63"/>
      </left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6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95">
    <xf numFmtId="0" fontId="0" fillId="0" borderId="0" xfId="0"/>
    <xf numFmtId="0" fontId="10" fillId="0" borderId="0" xfId="0" applyFont="1" applyFill="1" applyBorder="1" applyAlignment="1" applyProtection="1">
      <alignment vertical="center"/>
    </xf>
    <xf numFmtId="2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5" fontId="3" fillId="0" borderId="0" xfId="5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0" borderId="0" xfId="5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5" fontId="2" fillId="0" borderId="0" xfId="5" applyFont="1" applyFill="1" applyBorder="1" applyAlignment="1" applyProtection="1">
      <alignment horizontal="center" vertical="center"/>
    </xf>
    <xf numFmtId="4" fontId="10" fillId="0" borderId="0" xfId="0" applyNumberFormat="1" applyFont="1" applyFill="1" applyBorder="1" applyAlignment="1" applyProtection="1">
      <alignment horizontal="center" vertical="center" wrapText="1"/>
    </xf>
    <xf numFmtId="171" fontId="3" fillId="0" borderId="0" xfId="5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Border="1" applyAlignment="1" applyProtection="1">
      <alignment horizontal="center" vertical="center"/>
    </xf>
    <xf numFmtId="9" fontId="3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2" fontId="19" fillId="0" borderId="0" xfId="0" applyNumberFormat="1" applyFont="1" applyFill="1" applyBorder="1" applyAlignment="1" applyProtection="1">
      <alignment horizontal="left" vertical="center"/>
    </xf>
    <xf numFmtId="9" fontId="3" fillId="0" borderId="0" xfId="5" applyNumberFormat="1" applyFont="1" applyFill="1" applyBorder="1" applyAlignment="1" applyProtection="1">
      <alignment horizontal="center" vertical="center"/>
    </xf>
    <xf numFmtId="1" fontId="3" fillId="0" borderId="0" xfId="5" applyNumberFormat="1" applyFont="1" applyFill="1" applyBorder="1" applyAlignment="1" applyProtection="1">
      <alignment horizontal="center" vertical="center"/>
    </xf>
    <xf numFmtId="37" fontId="3" fillId="0" borderId="0" xfId="5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textRotation="45" wrapText="1"/>
    </xf>
    <xf numFmtId="170" fontId="10" fillId="0" borderId="0" xfId="0" applyNumberFormat="1" applyFont="1" applyFill="1" applyBorder="1" applyAlignment="1" applyProtection="1">
      <alignment horizontal="center" vertical="center" wrapText="1"/>
    </xf>
    <xf numFmtId="170" fontId="10" fillId="0" borderId="0" xfId="0" applyNumberFormat="1" applyFont="1" applyFill="1" applyBorder="1" applyAlignment="1" applyProtection="1">
      <alignment horizontal="center" vertical="center" textRotation="45" wrapText="1"/>
    </xf>
    <xf numFmtId="0" fontId="39" fillId="0" borderId="0" xfId="0" applyFont="1" applyFill="1" applyBorder="1" applyAlignment="1" applyProtection="1">
      <alignment horizontal="center" vertical="center" textRotation="45" wrapText="1"/>
    </xf>
    <xf numFmtId="2" fontId="10" fillId="0" borderId="0" xfId="0" applyNumberFormat="1" applyFont="1" applyFill="1" applyBorder="1" applyAlignment="1" applyProtection="1">
      <alignment horizontal="center" vertical="center" textRotation="45" wrapText="1"/>
    </xf>
    <xf numFmtId="165" fontId="10" fillId="0" borderId="0" xfId="5" applyFont="1" applyFill="1" applyBorder="1" applyAlignment="1" applyProtection="1">
      <alignment horizontal="center" vertical="center" textRotation="45" wrapText="1"/>
    </xf>
    <xf numFmtId="4" fontId="10" fillId="0" borderId="0" xfId="0" applyNumberFormat="1" applyFont="1" applyFill="1" applyBorder="1" applyAlignment="1" applyProtection="1">
      <alignment horizontal="center" vertical="center" textRotation="45" wrapText="1"/>
    </xf>
    <xf numFmtId="0" fontId="10" fillId="0" borderId="0" xfId="0" applyFont="1" applyFill="1" applyBorder="1" applyAlignment="1" applyProtection="1">
      <alignment horizontal="center" vertical="center" textRotation="45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textRotation="45" wrapText="1"/>
    </xf>
    <xf numFmtId="49" fontId="25" fillId="0" borderId="0" xfId="0" applyNumberFormat="1" applyFont="1" applyFill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vertical="center"/>
    </xf>
    <xf numFmtId="165" fontId="19" fillId="0" borderId="0" xfId="5" applyNumberFormat="1" applyFont="1" applyFill="1" applyBorder="1" applyAlignment="1" applyProtection="1">
      <alignment horizontal="right" vertical="center"/>
    </xf>
    <xf numFmtId="165" fontId="19" fillId="0" borderId="0" xfId="5" applyFont="1" applyFill="1" applyBorder="1" applyAlignment="1" applyProtection="1">
      <alignment horizontal="right" vertical="center"/>
    </xf>
    <xf numFmtId="165" fontId="19" fillId="0" borderId="0" xfId="5" applyFont="1" applyFill="1" applyBorder="1" applyAlignment="1" applyProtection="1">
      <alignment vertical="center"/>
    </xf>
    <xf numFmtId="1" fontId="19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165" fontId="19" fillId="0" borderId="0" xfId="5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2" fontId="3" fillId="0" borderId="3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19" fillId="0" borderId="3" xfId="0" applyFont="1" applyFill="1" applyBorder="1" applyAlignment="1" applyProtection="1">
      <alignment vertical="center"/>
    </xf>
    <xf numFmtId="165" fontId="3" fillId="0" borderId="4" xfId="5" applyFont="1" applyFill="1" applyBorder="1" applyAlignment="1" applyProtection="1">
      <alignment vertical="center"/>
    </xf>
    <xf numFmtId="0" fontId="19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4" fillId="0" borderId="0" xfId="0" applyFont="1" applyFill="1" applyBorder="1" applyAlignment="1" applyProtection="1">
      <alignment horizontal="center" vertical="center" textRotation="45" wrapText="1"/>
    </xf>
    <xf numFmtId="170" fontId="54" fillId="0" borderId="0" xfId="0" applyNumberFormat="1" applyFont="1" applyFill="1" applyBorder="1" applyAlignment="1" applyProtection="1">
      <alignment horizontal="center" vertical="center" textRotation="45" wrapText="1"/>
    </xf>
    <xf numFmtId="2" fontId="54" fillId="0" borderId="7" xfId="0" applyNumberFormat="1" applyFont="1" applyFill="1" applyBorder="1" applyAlignment="1" applyProtection="1">
      <alignment horizontal="center" vertical="center" textRotation="90" wrapText="1"/>
    </xf>
    <xf numFmtId="0" fontId="54" fillId="0" borderId="0" xfId="0" applyFont="1" applyFill="1" applyBorder="1" applyAlignment="1" applyProtection="1">
      <alignment horizontal="center" vertical="center" textRotation="90" wrapText="1"/>
    </xf>
    <xf numFmtId="0" fontId="54" fillId="0" borderId="7" xfId="0" applyFont="1" applyFill="1" applyBorder="1" applyAlignment="1" applyProtection="1">
      <alignment horizontal="center" vertical="center" textRotation="90" wrapText="1"/>
    </xf>
    <xf numFmtId="170" fontId="54" fillId="0" borderId="7" xfId="0" applyNumberFormat="1" applyFont="1" applyFill="1" applyBorder="1" applyAlignment="1" applyProtection="1">
      <alignment horizontal="center" vertical="center" textRotation="90" wrapText="1"/>
    </xf>
    <xf numFmtId="170" fontId="54" fillId="0" borderId="0" xfId="0" applyNumberFormat="1" applyFont="1" applyFill="1" applyBorder="1" applyAlignment="1" applyProtection="1">
      <alignment horizontal="center" vertical="center" textRotation="90" wrapText="1"/>
    </xf>
    <xf numFmtId="4" fontId="54" fillId="0" borderId="7" xfId="0" applyNumberFormat="1" applyFont="1" applyFill="1" applyBorder="1" applyAlignment="1" applyProtection="1">
      <alignment horizontal="center" vertical="center" textRotation="90" wrapText="1"/>
    </xf>
    <xf numFmtId="0" fontId="54" fillId="0" borderId="7" xfId="0" applyFont="1" applyFill="1" applyBorder="1" applyAlignment="1" applyProtection="1">
      <alignment horizontal="center" vertical="center" textRotation="90" wrapText="1"/>
      <protection locked="0"/>
    </xf>
    <xf numFmtId="2" fontId="57" fillId="0" borderId="0" xfId="0" applyNumberFormat="1" applyFont="1" applyFill="1" applyBorder="1" applyAlignment="1" applyProtection="1">
      <alignment vertical="center"/>
    </xf>
    <xf numFmtId="0" fontId="56" fillId="0" borderId="0" xfId="0" applyFont="1" applyFill="1" applyBorder="1" applyAlignment="1" applyProtection="1">
      <alignment horizontal="left" vertical="center"/>
    </xf>
    <xf numFmtId="0" fontId="57" fillId="0" borderId="0" xfId="0" applyFont="1" applyFill="1" applyBorder="1" applyAlignment="1" applyProtection="1">
      <alignment vertical="center"/>
    </xf>
    <xf numFmtId="0" fontId="56" fillId="0" borderId="0" xfId="0" applyFont="1" applyFill="1" applyBorder="1" applyAlignment="1" applyProtection="1">
      <alignment horizontal="center" vertical="center"/>
    </xf>
    <xf numFmtId="2" fontId="58" fillId="0" borderId="0" xfId="0" applyNumberFormat="1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</xf>
    <xf numFmtId="2" fontId="54" fillId="0" borderId="0" xfId="0" applyNumberFormat="1" applyFont="1" applyFill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/>
    <xf numFmtId="4" fontId="57" fillId="0" borderId="0" xfId="0" applyNumberFormat="1" applyFont="1" applyFill="1" applyBorder="1" applyAlignment="1" applyProtection="1">
      <alignment horizontal="right" vertical="center"/>
    </xf>
    <xf numFmtId="0" fontId="57" fillId="0" borderId="0" xfId="0" applyFont="1" applyFill="1" applyBorder="1" applyAlignment="1" applyProtection="1">
      <alignment horizontal="right" vertical="center"/>
    </xf>
    <xf numFmtId="4" fontId="54" fillId="0" borderId="0" xfId="0" applyNumberFormat="1" applyFont="1" applyFill="1" applyBorder="1" applyAlignment="1" applyProtection="1">
      <alignment horizontal="center" vertical="center" wrapText="1"/>
    </xf>
    <xf numFmtId="49" fontId="56" fillId="0" borderId="0" xfId="5" applyNumberFormat="1" applyFont="1" applyFill="1" applyBorder="1" applyAlignment="1" applyProtection="1">
      <alignment horizontal="center" vertical="center"/>
    </xf>
    <xf numFmtId="2" fontId="57" fillId="0" borderId="0" xfId="0" applyNumberFormat="1" applyFont="1" applyFill="1" applyBorder="1" applyAlignment="1" applyProtection="1">
      <alignment horizontal="left" vertical="center"/>
    </xf>
    <xf numFmtId="0" fontId="57" fillId="0" borderId="0" xfId="0" applyFont="1" applyFill="1" applyBorder="1" applyAlignment="1" applyProtection="1">
      <alignment horizontal="left" vertical="center"/>
    </xf>
    <xf numFmtId="0" fontId="56" fillId="0" borderId="0" xfId="0" applyFont="1" applyFill="1" applyBorder="1" applyAlignment="1" applyProtection="1">
      <alignment vertical="center"/>
    </xf>
    <xf numFmtId="2" fontId="54" fillId="0" borderId="7" xfId="0" applyNumberFormat="1" applyFont="1" applyFill="1" applyBorder="1" applyAlignment="1" applyProtection="1">
      <alignment horizontal="center" vertical="center" wrapText="1"/>
    </xf>
    <xf numFmtId="0" fontId="57" fillId="0" borderId="7" xfId="0" applyFont="1" applyFill="1" applyBorder="1" applyAlignment="1" applyProtection="1">
      <alignment vertical="center" wrapText="1"/>
      <protection locked="0"/>
    </xf>
    <xf numFmtId="1" fontId="41" fillId="0" borderId="0" xfId="5" applyNumberFormat="1" applyFont="1" applyFill="1" applyBorder="1" applyAlignment="1" applyProtection="1">
      <alignment horizontal="center" vertical="center"/>
    </xf>
    <xf numFmtId="180" fontId="57" fillId="0" borderId="7" xfId="0" applyNumberFormat="1" applyFont="1" applyFill="1" applyBorder="1" applyAlignment="1" applyProtection="1">
      <alignment vertical="center" wrapText="1"/>
      <protection locked="0"/>
    </xf>
    <xf numFmtId="178" fontId="57" fillId="0" borderId="7" xfId="0" applyNumberFormat="1" applyFont="1" applyFill="1" applyBorder="1" applyAlignment="1" applyProtection="1">
      <alignment vertical="center" wrapText="1"/>
      <protection locked="0"/>
    </xf>
    <xf numFmtId="178" fontId="57" fillId="0" borderId="7" xfId="0" applyNumberFormat="1" applyFont="1" applyFill="1" applyBorder="1" applyAlignment="1" applyProtection="1">
      <alignment horizontal="center" vertical="center"/>
      <protection locked="0"/>
    </xf>
    <xf numFmtId="1" fontId="57" fillId="0" borderId="0" xfId="0" applyNumberFormat="1" applyFont="1" applyFill="1" applyBorder="1" applyAlignment="1" applyProtection="1">
      <alignment horizontal="center" vertical="center"/>
    </xf>
    <xf numFmtId="165" fontId="57" fillId="0" borderId="0" xfId="0" applyNumberFormat="1" applyFont="1" applyFill="1" applyBorder="1" applyAlignment="1" applyProtection="1">
      <alignment vertical="center"/>
    </xf>
    <xf numFmtId="165" fontId="57" fillId="0" borderId="7" xfId="5" applyNumberFormat="1" applyFont="1" applyFill="1" applyBorder="1" applyAlignment="1" applyProtection="1">
      <alignment vertical="center" wrapText="1"/>
      <protection locked="0"/>
    </xf>
    <xf numFmtId="2" fontId="57" fillId="0" borderId="7" xfId="0" applyNumberFormat="1" applyFont="1" applyFill="1" applyBorder="1" applyAlignment="1" applyProtection="1">
      <alignment vertical="center" wrapText="1"/>
      <protection locked="0"/>
    </xf>
    <xf numFmtId="168" fontId="57" fillId="0" borderId="7" xfId="0" applyNumberFormat="1" applyFont="1" applyFill="1" applyBorder="1" applyAlignment="1" applyProtection="1">
      <alignment vertical="center" wrapText="1"/>
      <protection locked="0"/>
    </xf>
    <xf numFmtId="2" fontId="57" fillId="0" borderId="7" xfId="0" applyNumberFormat="1" applyFont="1" applyFill="1" applyBorder="1" applyAlignment="1" applyProtection="1">
      <alignment horizontal="center" vertical="center"/>
      <protection locked="0"/>
    </xf>
    <xf numFmtId="165" fontId="57" fillId="0" borderId="7" xfId="5" applyFont="1" applyFill="1" applyBorder="1" applyAlignment="1" applyProtection="1">
      <alignment horizontal="right" vertical="center"/>
      <protection locked="0"/>
    </xf>
    <xf numFmtId="165" fontId="57" fillId="0" borderId="7" xfId="5" applyFont="1" applyFill="1" applyBorder="1" applyAlignment="1" applyProtection="1">
      <alignment horizontal="center" vertical="center"/>
      <protection locked="0"/>
    </xf>
    <xf numFmtId="165" fontId="57" fillId="0" borderId="0" xfId="5" applyFont="1" applyFill="1" applyBorder="1" applyAlignment="1" applyProtection="1">
      <alignment horizontal="right" vertical="center"/>
    </xf>
    <xf numFmtId="9" fontId="57" fillId="0" borderId="7" xfId="5" applyNumberFormat="1" applyFont="1" applyFill="1" applyBorder="1" applyAlignment="1" applyProtection="1">
      <alignment horizontal="center" vertical="center"/>
      <protection locked="0"/>
    </xf>
    <xf numFmtId="49" fontId="57" fillId="0" borderId="7" xfId="0" applyNumberFormat="1" applyFont="1" applyFill="1" applyBorder="1" applyAlignment="1" applyProtection="1">
      <alignment horizontal="center" vertical="center"/>
      <protection locked="0"/>
    </xf>
    <xf numFmtId="1" fontId="57" fillId="0" borderId="7" xfId="0" applyNumberFormat="1" applyFont="1" applyFill="1" applyBorder="1" applyAlignment="1" applyProtection="1">
      <alignment horizontal="center" vertical="center"/>
      <protection locked="0"/>
    </xf>
    <xf numFmtId="165" fontId="41" fillId="0" borderId="0" xfId="5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171" fontId="50" fillId="0" borderId="0" xfId="5" applyNumberFormat="1" applyFont="1" applyFill="1" applyBorder="1" applyAlignment="1" applyProtection="1">
      <alignment horizontal="center" vertical="center"/>
    </xf>
    <xf numFmtId="0" fontId="61" fillId="0" borderId="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61" fillId="0" borderId="0" xfId="0" applyFont="1" applyFill="1" applyBorder="1" applyAlignment="1" applyProtection="1">
      <alignment horizontal="right" vertical="center"/>
    </xf>
    <xf numFmtId="0" fontId="63" fillId="0" borderId="0" xfId="0" applyFont="1" applyFill="1" applyBorder="1" applyAlignment="1" applyProtection="1">
      <alignment horizontal="center" vertical="center"/>
    </xf>
    <xf numFmtId="0" fontId="65" fillId="2" borderId="0" xfId="0" applyFont="1" applyFill="1" applyBorder="1" applyAlignment="1">
      <alignment horizontal="center" vertical="center"/>
    </xf>
    <xf numFmtId="0" fontId="66" fillId="2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 applyProtection="1">
      <alignment vertical="center"/>
    </xf>
    <xf numFmtId="0" fontId="66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vertical="center"/>
    </xf>
    <xf numFmtId="0" fontId="65" fillId="0" borderId="0" xfId="0" applyFont="1" applyFill="1" applyBorder="1" applyAlignment="1" applyProtection="1">
      <alignment vertical="center"/>
    </xf>
    <xf numFmtId="165" fontId="56" fillId="0" borderId="0" xfId="5" applyFont="1" applyFill="1" applyBorder="1" applyAlignment="1" applyProtection="1">
      <alignment vertical="center"/>
    </xf>
    <xf numFmtId="49" fontId="55" fillId="0" borderId="0" xfId="0" applyNumberFormat="1" applyFont="1" applyFill="1" applyBorder="1" applyAlignment="1" applyProtection="1">
      <alignment horizontal="left" vertical="center"/>
    </xf>
    <xf numFmtId="2" fontId="56" fillId="0" borderId="0" xfId="0" applyNumberFormat="1" applyFont="1" applyFill="1" applyBorder="1" applyAlignment="1" applyProtection="1">
      <alignment vertical="center"/>
    </xf>
    <xf numFmtId="0" fontId="54" fillId="0" borderId="0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56" fillId="0" borderId="9" xfId="0" applyFont="1" applyFill="1" applyBorder="1" applyAlignment="1" applyProtection="1">
      <alignment vertical="center"/>
    </xf>
    <xf numFmtId="49" fontId="55" fillId="0" borderId="9" xfId="0" applyNumberFormat="1" applyFont="1" applyFill="1" applyBorder="1" applyAlignment="1" applyProtection="1">
      <alignment horizontal="left" vertical="center"/>
    </xf>
    <xf numFmtId="165" fontId="56" fillId="0" borderId="9" xfId="5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70" fillId="2" borderId="0" xfId="0" applyFont="1" applyFill="1" applyBorder="1" applyAlignment="1" applyProtection="1">
      <alignment horizontal="center" vertical="center"/>
    </xf>
    <xf numFmtId="0" fontId="70" fillId="2" borderId="0" xfId="0" applyFont="1" applyFill="1" applyBorder="1" applyAlignment="1" applyProtection="1">
      <alignment vertical="center"/>
    </xf>
    <xf numFmtId="0" fontId="71" fillId="2" borderId="0" xfId="0" applyFont="1" applyFill="1" applyBorder="1" applyAlignment="1" applyProtection="1">
      <alignment horizontal="center" vertical="center"/>
    </xf>
    <xf numFmtId="0" fontId="71" fillId="2" borderId="0" xfId="0" applyFont="1" applyFill="1" applyBorder="1" applyAlignment="1" applyProtection="1">
      <alignment vertical="center"/>
    </xf>
    <xf numFmtId="2" fontId="56" fillId="0" borderId="11" xfId="0" applyNumberFormat="1" applyFont="1" applyFill="1" applyBorder="1" applyAlignment="1" applyProtection="1">
      <alignment vertical="center"/>
    </xf>
    <xf numFmtId="2" fontId="53" fillId="0" borderId="11" xfId="0" applyNumberFormat="1" applyFont="1" applyFill="1" applyBorder="1" applyAlignment="1" applyProtection="1">
      <alignment horizontal="right" vertical="center"/>
    </xf>
    <xf numFmtId="49" fontId="53" fillId="0" borderId="0" xfId="0" applyNumberFormat="1" applyFont="1" applyFill="1" applyBorder="1" applyAlignment="1" applyProtection="1">
      <alignment horizontal="left" vertical="center"/>
    </xf>
    <xf numFmtId="2" fontId="53" fillId="0" borderId="12" xfId="0" applyNumberFormat="1" applyFont="1" applyFill="1" applyBorder="1" applyAlignment="1" applyProtection="1">
      <alignment horizontal="right" vertical="center"/>
    </xf>
    <xf numFmtId="0" fontId="67" fillId="2" borderId="11" xfId="0" applyFont="1" applyFill="1" applyBorder="1" applyAlignment="1" applyProtection="1">
      <alignment horizontal="center" vertical="center"/>
    </xf>
    <xf numFmtId="0" fontId="72" fillId="2" borderId="0" xfId="0" applyFont="1" applyFill="1" applyBorder="1" applyAlignment="1" applyProtection="1">
      <alignment horizontal="center" vertical="center"/>
    </xf>
    <xf numFmtId="0" fontId="67" fillId="2" borderId="0" xfId="0" applyFont="1" applyFill="1" applyBorder="1" applyAlignment="1" applyProtection="1">
      <alignment horizontal="center" vertical="center"/>
    </xf>
    <xf numFmtId="0" fontId="67" fillId="2" borderId="0" xfId="0" applyFont="1" applyFill="1" applyBorder="1" applyAlignment="1" applyProtection="1">
      <alignment vertical="center"/>
    </xf>
    <xf numFmtId="0" fontId="73" fillId="0" borderId="0" xfId="0" applyFont="1" applyFill="1" applyBorder="1" applyAlignment="1" applyProtection="1">
      <alignment vertical="center"/>
    </xf>
    <xf numFmtId="0" fontId="73" fillId="0" borderId="8" xfId="0" applyFont="1" applyFill="1" applyBorder="1" applyAlignment="1" applyProtection="1">
      <alignment vertical="center"/>
    </xf>
    <xf numFmtId="1" fontId="67" fillId="2" borderId="7" xfId="0" applyNumberFormat="1" applyFont="1" applyFill="1" applyBorder="1" applyAlignment="1" applyProtection="1">
      <alignment horizontal="center" vertical="center"/>
      <protection locked="0"/>
    </xf>
    <xf numFmtId="0" fontId="72" fillId="2" borderId="0" xfId="0" applyFont="1" applyFill="1" applyBorder="1" applyAlignment="1" applyProtection="1">
      <alignment vertical="center"/>
    </xf>
    <xf numFmtId="1" fontId="67" fillId="2" borderId="0" xfId="0" applyNumberFormat="1" applyFont="1" applyFill="1" applyBorder="1" applyAlignment="1" applyProtection="1">
      <alignment horizontal="center" vertical="center"/>
    </xf>
    <xf numFmtId="0" fontId="67" fillId="2" borderId="12" xfId="0" applyFont="1" applyFill="1" applyBorder="1" applyAlignment="1" applyProtection="1">
      <alignment horizontal="center" vertical="center"/>
    </xf>
    <xf numFmtId="0" fontId="67" fillId="0" borderId="9" xfId="0" applyFont="1" applyFill="1" applyBorder="1" applyAlignment="1" applyProtection="1">
      <alignment vertical="center"/>
    </xf>
    <xf numFmtId="1" fontId="67" fillId="2" borderId="9" xfId="0" applyNumberFormat="1" applyFont="1" applyFill="1" applyBorder="1" applyAlignment="1" applyProtection="1">
      <alignment horizontal="center" vertical="center"/>
    </xf>
    <xf numFmtId="0" fontId="73" fillId="0" borderId="9" xfId="0" applyFont="1" applyFill="1" applyBorder="1" applyAlignment="1" applyProtection="1">
      <alignment vertical="center"/>
    </xf>
    <xf numFmtId="0" fontId="73" fillId="0" borderId="10" xfId="0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2" fontId="7" fillId="2" borderId="0" xfId="0" applyNumberFormat="1" applyFont="1" applyFill="1" applyAlignment="1" applyProtection="1">
      <alignment vertical="center"/>
    </xf>
    <xf numFmtId="0" fontId="7" fillId="2" borderId="0" xfId="0" applyNumberFormat="1" applyFont="1" applyFill="1" applyAlignment="1" applyProtection="1">
      <alignment vertical="center"/>
    </xf>
    <xf numFmtId="10" fontId="7" fillId="2" borderId="0" xfId="0" applyNumberFormat="1" applyFont="1" applyFill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2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10" fontId="10" fillId="2" borderId="0" xfId="0" applyNumberFormat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1" fontId="7" fillId="3" borderId="0" xfId="0" applyNumberFormat="1" applyFont="1" applyFill="1" applyBorder="1" applyAlignment="1" applyProtection="1">
      <alignment vertical="center" wrapText="1"/>
    </xf>
    <xf numFmtId="49" fontId="10" fillId="3" borderId="0" xfId="0" applyNumberFormat="1" applyFont="1" applyFill="1" applyBorder="1" applyAlignment="1" applyProtection="1">
      <alignment horizontal="center" vertical="center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1" fontId="7" fillId="3" borderId="0" xfId="0" applyNumberFormat="1" applyFont="1" applyFill="1" applyBorder="1" applyAlignment="1" applyProtection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center" vertical="center" wrapText="1"/>
    </xf>
    <xf numFmtId="10" fontId="10" fillId="3" borderId="0" xfId="0" applyNumberFormat="1" applyFont="1" applyFill="1" applyBorder="1" applyAlignment="1" applyProtection="1">
      <alignment horizontal="center" vertical="center" wrapText="1"/>
    </xf>
    <xf numFmtId="49" fontId="25" fillId="2" borderId="0" xfId="0" applyNumberFormat="1" applyFont="1" applyFill="1" applyAlignment="1" applyProtection="1">
      <alignment horizontal="center" vertical="center"/>
    </xf>
    <xf numFmtId="0" fontId="25" fillId="2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 wrapText="1"/>
    </xf>
    <xf numFmtId="174" fontId="7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left" vertical="center"/>
    </xf>
    <xf numFmtId="2" fontId="10" fillId="3" borderId="0" xfId="0" applyNumberFormat="1" applyFont="1" applyFill="1" applyBorder="1" applyAlignment="1" applyProtection="1">
      <alignment vertical="center"/>
    </xf>
    <xf numFmtId="1" fontId="7" fillId="3" borderId="0" xfId="0" applyNumberFormat="1" applyFont="1" applyFill="1" applyBorder="1" applyAlignment="1" applyProtection="1">
      <alignment vertical="center"/>
    </xf>
    <xf numFmtId="1" fontId="7" fillId="3" borderId="0" xfId="0" applyNumberFormat="1" applyFont="1" applyFill="1" applyBorder="1" applyAlignment="1" applyProtection="1">
      <alignment horizontal="center" vertical="center"/>
    </xf>
    <xf numFmtId="174" fontId="7" fillId="3" borderId="0" xfId="0" applyNumberFormat="1" applyFont="1" applyFill="1" applyBorder="1" applyAlignment="1" applyProtection="1">
      <alignment vertical="center"/>
    </xf>
    <xf numFmtId="164" fontId="7" fillId="3" borderId="0" xfId="0" applyNumberFormat="1" applyFont="1" applyFill="1" applyBorder="1" applyAlignment="1" applyProtection="1">
      <alignment vertical="center"/>
    </xf>
    <xf numFmtId="0" fontId="7" fillId="3" borderId="0" xfId="0" applyNumberFormat="1" applyFont="1" applyFill="1" applyBorder="1" applyAlignment="1" applyProtection="1">
      <alignment vertical="center"/>
    </xf>
    <xf numFmtId="1" fontId="7" fillId="3" borderId="0" xfId="0" applyNumberFormat="1" applyFont="1" applyFill="1" applyBorder="1" applyAlignment="1" applyProtection="1">
      <alignment horizontal="right" vertical="center"/>
    </xf>
    <xf numFmtId="2" fontId="7" fillId="3" borderId="0" xfId="0" applyNumberFormat="1" applyFont="1" applyFill="1" applyBorder="1" applyAlignment="1" applyProtection="1">
      <alignment horizontal="center" vertical="center"/>
    </xf>
    <xf numFmtId="10" fontId="7" fillId="3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175" fontId="7" fillId="2" borderId="0" xfId="0" applyNumberFormat="1" applyFont="1" applyFill="1" applyBorder="1" applyAlignment="1" applyProtection="1">
      <alignment horizontal="center" vertical="center"/>
    </xf>
    <xf numFmtId="165" fontId="10" fillId="2" borderId="0" xfId="5" applyFont="1" applyFill="1" applyBorder="1" applyAlignment="1" applyProtection="1">
      <alignment vertical="center"/>
    </xf>
    <xf numFmtId="1" fontId="10" fillId="2" borderId="0" xfId="0" applyNumberFormat="1" applyFont="1" applyFill="1" applyBorder="1" applyAlignment="1" applyProtection="1">
      <alignment horizontal="right" vertical="center"/>
    </xf>
    <xf numFmtId="2" fontId="10" fillId="2" borderId="0" xfId="0" applyNumberFormat="1" applyFont="1" applyFill="1" applyBorder="1" applyAlignment="1" applyProtection="1">
      <alignment horizontal="center" vertical="center"/>
    </xf>
    <xf numFmtId="0" fontId="62" fillId="3" borderId="13" xfId="0" applyFont="1" applyFill="1" applyBorder="1" applyAlignment="1" applyProtection="1">
      <alignment horizontal="center" vertical="center" wrapText="1"/>
    </xf>
    <xf numFmtId="0" fontId="74" fillId="3" borderId="13" xfId="0" applyFont="1" applyFill="1" applyBorder="1" applyAlignment="1" applyProtection="1">
      <alignment horizontal="center" vertical="center" wrapText="1"/>
    </xf>
    <xf numFmtId="2" fontId="62" fillId="3" borderId="13" xfId="0" applyNumberFormat="1" applyFont="1" applyFill="1" applyBorder="1" applyAlignment="1" applyProtection="1">
      <alignment horizontal="center" vertical="center" wrapText="1"/>
    </xf>
    <xf numFmtId="10" fontId="62" fillId="3" borderId="13" xfId="0" applyNumberFormat="1" applyFont="1" applyFill="1" applyBorder="1" applyAlignment="1" applyProtection="1">
      <alignment horizontal="center" vertical="center" wrapText="1"/>
    </xf>
    <xf numFmtId="0" fontId="62" fillId="3" borderId="13" xfId="0" applyNumberFormat="1" applyFont="1" applyFill="1" applyBorder="1" applyAlignment="1" applyProtection="1">
      <alignment horizontal="center" vertical="center" wrapText="1"/>
    </xf>
    <xf numFmtId="0" fontId="62" fillId="3" borderId="0" xfId="0" applyFont="1" applyFill="1" applyBorder="1" applyAlignment="1" applyProtection="1">
      <alignment horizontal="right" vertical="center" wrapText="1"/>
    </xf>
    <xf numFmtId="1" fontId="54" fillId="2" borderId="7" xfId="0" applyNumberFormat="1" applyFont="1" applyFill="1" applyBorder="1" applyAlignment="1" applyProtection="1">
      <alignment horizontal="center" vertical="center"/>
      <protection locked="0"/>
    </xf>
    <xf numFmtId="2" fontId="54" fillId="2" borderId="7" xfId="0" applyNumberFormat="1" applyFont="1" applyFill="1" applyBorder="1" applyAlignment="1" applyProtection="1">
      <alignment horizontal="center" vertical="center"/>
      <protection locked="0"/>
    </xf>
    <xf numFmtId="10" fontId="54" fillId="2" borderId="7" xfId="0" applyNumberFormat="1" applyFont="1" applyFill="1" applyBorder="1" applyAlignment="1" applyProtection="1">
      <alignment horizontal="center" vertical="center" wrapText="1"/>
      <protection locked="0"/>
    </xf>
    <xf numFmtId="9" fontId="54" fillId="2" borderId="7" xfId="4" applyFont="1" applyFill="1" applyBorder="1" applyAlignment="1" applyProtection="1">
      <alignment horizontal="center" vertical="center"/>
      <protection locked="0"/>
    </xf>
    <xf numFmtId="0" fontId="58" fillId="2" borderId="0" xfId="0" applyFont="1" applyFill="1" applyBorder="1" applyAlignment="1" applyProtection="1">
      <alignment horizontal="center" vertical="center"/>
    </xf>
    <xf numFmtId="2" fontId="54" fillId="2" borderId="1" xfId="0" applyNumberFormat="1" applyFont="1" applyFill="1" applyBorder="1" applyAlignment="1" applyProtection="1">
      <alignment horizontal="center" vertical="center"/>
      <protection locked="0"/>
    </xf>
    <xf numFmtId="10" fontId="54" fillId="2" borderId="14" xfId="5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</xf>
    <xf numFmtId="0" fontId="54" fillId="3" borderId="0" xfId="0" applyFont="1" applyFill="1" applyBorder="1" applyAlignment="1" applyProtection="1">
      <alignment horizontal="right" vertical="center" wrapText="1"/>
    </xf>
    <xf numFmtId="1" fontId="7" fillId="2" borderId="0" xfId="0" applyNumberFormat="1" applyFont="1" applyFill="1" applyAlignment="1" applyProtection="1">
      <alignment vertical="center"/>
    </xf>
    <xf numFmtId="165" fontId="7" fillId="2" borderId="0" xfId="5" applyFont="1" applyFill="1" applyAlignment="1" applyProtection="1">
      <alignment vertical="center"/>
    </xf>
    <xf numFmtId="0" fontId="62" fillId="3" borderId="15" xfId="0" applyNumberFormat="1" applyFont="1" applyFill="1" applyBorder="1" applyAlignment="1" applyProtection="1">
      <alignment horizontal="center" vertical="center" wrapText="1"/>
    </xf>
    <xf numFmtId="2" fontId="62" fillId="3" borderId="15" xfId="0" applyNumberFormat="1" applyFont="1" applyFill="1" applyBorder="1" applyAlignment="1" applyProtection="1">
      <alignment horizontal="center" vertical="center" wrapText="1"/>
    </xf>
    <xf numFmtId="165" fontId="62" fillId="2" borderId="0" xfId="5" applyFont="1" applyFill="1" applyBorder="1" applyAlignment="1" applyProtection="1">
      <alignment horizontal="right" vertical="center"/>
    </xf>
    <xf numFmtId="2" fontId="54" fillId="2" borderId="16" xfId="0" applyNumberFormat="1" applyFont="1" applyFill="1" applyBorder="1" applyAlignment="1" applyProtection="1">
      <alignment horizontal="center" vertical="center"/>
      <protection locked="0"/>
    </xf>
    <xf numFmtId="9" fontId="54" fillId="2" borderId="16" xfId="4" applyFont="1" applyFill="1" applyBorder="1" applyAlignment="1" applyProtection="1">
      <alignment horizontal="center" vertical="center"/>
      <protection locked="0"/>
    </xf>
    <xf numFmtId="2" fontId="54" fillId="2" borderId="17" xfId="0" applyNumberFormat="1" applyFont="1" applyFill="1" applyBorder="1" applyAlignment="1" applyProtection="1">
      <alignment horizontal="center" vertical="center"/>
      <protection locked="0"/>
    </xf>
    <xf numFmtId="10" fontId="54" fillId="2" borderId="18" xfId="5" applyNumberFormat="1" applyFont="1" applyFill="1" applyBorder="1" applyAlignment="1" applyProtection="1">
      <alignment horizontal="center" vertical="center"/>
      <protection locked="0"/>
    </xf>
    <xf numFmtId="2" fontId="68" fillId="2" borderId="19" xfId="0" applyNumberFormat="1" applyFont="1" applyFill="1" applyBorder="1" applyAlignment="1" applyProtection="1">
      <alignment horizontal="center" vertical="center"/>
    </xf>
    <xf numFmtId="165" fontId="68" fillId="2" borderId="19" xfId="5" applyFont="1" applyFill="1" applyBorder="1" applyAlignment="1" applyProtection="1">
      <alignment vertical="center"/>
    </xf>
    <xf numFmtId="0" fontId="69" fillId="2" borderId="19" xfId="0" applyFont="1" applyFill="1" applyBorder="1" applyAlignment="1" applyProtection="1">
      <alignment vertical="center"/>
    </xf>
    <xf numFmtId="10" fontId="68" fillId="2" borderId="19" xfId="5" applyNumberFormat="1" applyFont="1" applyFill="1" applyBorder="1" applyAlignment="1" applyProtection="1">
      <alignment horizontal="center" vertical="center"/>
    </xf>
    <xf numFmtId="165" fontId="68" fillId="2" borderId="0" xfId="5" applyFont="1" applyFill="1" applyBorder="1" applyAlignment="1" applyProtection="1">
      <alignment vertical="center"/>
    </xf>
    <xf numFmtId="0" fontId="69" fillId="2" borderId="0" xfId="0" applyFont="1" applyFill="1" applyBorder="1" applyAlignment="1" applyProtection="1">
      <alignment vertical="center"/>
    </xf>
    <xf numFmtId="0" fontId="36" fillId="2" borderId="0" xfId="0" applyFont="1" applyFill="1" applyAlignment="1" applyProtection="1">
      <alignment horizontal="center" vertical="center"/>
    </xf>
    <xf numFmtId="0" fontId="20" fillId="2" borderId="0" xfId="0" applyFont="1" applyFill="1" applyAlignment="1" applyProtection="1">
      <alignment vertical="center"/>
    </xf>
    <xf numFmtId="2" fontId="20" fillId="2" borderId="0" xfId="0" applyNumberFormat="1" applyFont="1" applyFill="1" applyAlignment="1" applyProtection="1">
      <alignment vertical="center"/>
    </xf>
    <xf numFmtId="0" fontId="38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2" fontId="21" fillId="2" borderId="0" xfId="0" applyNumberFormat="1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/>
    </xf>
    <xf numFmtId="176" fontId="3" fillId="3" borderId="0" xfId="0" applyNumberFormat="1" applyFont="1" applyFill="1" applyBorder="1" applyAlignment="1" applyProtection="1">
      <alignment horizontal="center" vertical="center"/>
    </xf>
    <xf numFmtId="165" fontId="3" fillId="3" borderId="0" xfId="5" applyFont="1" applyFill="1" applyBorder="1" applyAlignment="1" applyProtection="1">
      <alignment vertical="center"/>
    </xf>
    <xf numFmtId="49" fontId="36" fillId="2" borderId="0" xfId="0" applyNumberFormat="1" applyFont="1" applyFill="1" applyAlignment="1" applyProtection="1">
      <alignment horizontal="center" vertical="center"/>
    </xf>
    <xf numFmtId="49" fontId="33" fillId="2" borderId="0" xfId="0" applyNumberFormat="1" applyFont="1" applyFill="1" applyAlignment="1" applyProtection="1">
      <alignment horizontal="center" vertical="center"/>
    </xf>
    <xf numFmtId="0" fontId="36" fillId="2" borderId="0" xfId="0" applyFont="1" applyFill="1" applyAlignment="1" applyProtection="1">
      <alignment horizontal="center" vertical="center" wrapText="1"/>
    </xf>
    <xf numFmtId="174" fontId="20" fillId="3" borderId="0" xfId="0" applyNumberFormat="1" applyFont="1" applyFill="1" applyBorder="1" applyAlignment="1" applyProtection="1">
      <alignment vertical="center" wrapText="1"/>
    </xf>
    <xf numFmtId="164" fontId="20" fillId="3" borderId="0" xfId="0" applyNumberFormat="1" applyFont="1" applyFill="1" applyBorder="1" applyAlignment="1" applyProtection="1">
      <alignment vertical="center" wrapText="1"/>
    </xf>
    <xf numFmtId="0" fontId="20" fillId="2" borderId="0" xfId="0" applyFont="1" applyFill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2" fontId="3" fillId="3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/>
    </xf>
    <xf numFmtId="2" fontId="3" fillId="3" borderId="0" xfId="0" applyNumberFormat="1" applyFont="1" applyFill="1" applyBorder="1" applyAlignment="1" applyProtection="1">
      <alignment vertical="center"/>
    </xf>
    <xf numFmtId="1" fontId="20" fillId="3" borderId="0" xfId="0" applyNumberFormat="1" applyFont="1" applyFill="1" applyBorder="1" applyAlignment="1" applyProtection="1">
      <alignment horizontal="center" vertical="center"/>
    </xf>
    <xf numFmtId="174" fontId="20" fillId="3" borderId="0" xfId="0" applyNumberFormat="1" applyFont="1" applyFill="1" applyBorder="1" applyAlignment="1" applyProtection="1">
      <alignment vertical="center"/>
    </xf>
    <xf numFmtId="164" fontId="20" fillId="3" borderId="0" xfId="0" applyNumberFormat="1" applyFont="1" applyFill="1" applyBorder="1" applyAlignment="1" applyProtection="1">
      <alignment vertical="center"/>
    </xf>
    <xf numFmtId="165" fontId="3" fillId="2" borderId="0" xfId="5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165" fontId="3" fillId="3" borderId="0" xfId="5" applyFont="1" applyFill="1" applyBorder="1" applyAlignment="1" applyProtection="1">
      <alignment vertical="center"/>
      <protection locked="0"/>
    </xf>
    <xf numFmtId="0" fontId="56" fillId="3" borderId="1" xfId="0" applyFont="1" applyFill="1" applyBorder="1" applyAlignment="1" applyProtection="1">
      <alignment horizontal="left" vertical="center" wrapText="1"/>
      <protection locked="0"/>
    </xf>
    <xf numFmtId="0" fontId="56" fillId="3" borderId="1" xfId="0" applyFont="1" applyFill="1" applyBorder="1" applyAlignment="1" applyProtection="1">
      <alignment horizontal="center" vertical="center" wrapText="1"/>
      <protection locked="0"/>
    </xf>
    <xf numFmtId="2" fontId="56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56" fillId="3" borderId="1" xfId="0" applyNumberFormat="1" applyFont="1" applyFill="1" applyBorder="1" applyAlignment="1" applyProtection="1">
      <alignment horizontal="center" vertical="center"/>
      <protection locked="0"/>
    </xf>
    <xf numFmtId="165" fontId="56" fillId="3" borderId="14" xfId="5" applyFont="1" applyFill="1" applyBorder="1" applyAlignment="1" applyProtection="1">
      <alignment vertical="center"/>
      <protection locked="0"/>
    </xf>
    <xf numFmtId="0" fontId="56" fillId="3" borderId="15" xfId="0" applyFont="1" applyFill="1" applyBorder="1" applyAlignment="1" applyProtection="1">
      <alignment horizontal="left" vertical="center" wrapText="1"/>
      <protection locked="0"/>
    </xf>
    <xf numFmtId="2" fontId="56" fillId="3" borderId="15" xfId="0" applyNumberFormat="1" applyFont="1" applyFill="1" applyBorder="1" applyAlignment="1" applyProtection="1">
      <alignment horizontal="center" vertical="center"/>
      <protection locked="0"/>
    </xf>
    <xf numFmtId="165" fontId="56" fillId="3" borderId="13" xfId="5" applyFont="1" applyFill="1" applyBorder="1" applyAlignment="1" applyProtection="1">
      <alignment vertical="center"/>
      <protection locked="0"/>
    </xf>
    <xf numFmtId="0" fontId="50" fillId="3" borderId="15" xfId="0" applyFont="1" applyFill="1" applyBorder="1" applyAlignment="1" applyProtection="1">
      <alignment horizontal="center" vertical="center" wrapText="1"/>
    </xf>
    <xf numFmtId="2" fontId="50" fillId="3" borderId="15" xfId="0" applyNumberFormat="1" applyFont="1" applyFill="1" applyBorder="1" applyAlignment="1" applyProtection="1">
      <alignment horizontal="center" vertical="center" wrapText="1"/>
    </xf>
    <xf numFmtId="174" fontId="75" fillId="3" borderId="20" xfId="0" applyNumberFormat="1" applyFont="1" applyFill="1" applyBorder="1" applyAlignment="1" applyProtection="1">
      <alignment vertical="center" wrapText="1"/>
    </xf>
    <xf numFmtId="164" fontId="75" fillId="3" borderId="20" xfId="0" applyNumberFormat="1" applyFont="1" applyFill="1" applyBorder="1" applyAlignment="1" applyProtection="1">
      <alignment vertical="center" wrapText="1"/>
    </xf>
    <xf numFmtId="0" fontId="50" fillId="3" borderId="13" xfId="0" applyFont="1" applyFill="1" applyBorder="1" applyAlignment="1" applyProtection="1">
      <alignment horizontal="center" vertical="center" wrapText="1"/>
    </xf>
    <xf numFmtId="176" fontId="50" fillId="3" borderId="0" xfId="0" applyNumberFormat="1" applyFont="1" applyFill="1" applyBorder="1" applyAlignment="1" applyProtection="1">
      <alignment horizontal="right" vertical="center"/>
    </xf>
    <xf numFmtId="0" fontId="33" fillId="2" borderId="0" xfId="0" applyNumberFormat="1" applyFont="1" applyFill="1" applyBorder="1" applyAlignment="1" applyProtection="1">
      <alignment horizontal="center" vertical="center" wrapText="1"/>
    </xf>
    <xf numFmtId="49" fontId="3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left" vertical="center" wrapText="1"/>
    </xf>
    <xf numFmtId="10" fontId="18" fillId="3" borderId="0" xfId="0" applyNumberFormat="1" applyFont="1" applyFill="1" applyBorder="1" applyAlignment="1" applyProtection="1">
      <alignment horizontal="center" vertical="center" wrapText="1"/>
    </xf>
    <xf numFmtId="10" fontId="7" fillId="2" borderId="0" xfId="0" applyNumberFormat="1" applyFont="1" applyFill="1" applyBorder="1" applyAlignment="1" applyProtection="1">
      <alignment horizontal="right" vertical="top"/>
    </xf>
    <xf numFmtId="10" fontId="8" fillId="3" borderId="0" xfId="0" applyNumberFormat="1" applyFont="1" applyFill="1" applyBorder="1" applyAlignment="1" applyProtection="1">
      <alignment horizontal="center" vertical="center" wrapText="1"/>
    </xf>
    <xf numFmtId="10" fontId="17" fillId="3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/>
    <xf numFmtId="0" fontId="3" fillId="3" borderId="0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wrapText="1"/>
    </xf>
    <xf numFmtId="0" fontId="26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 wrapText="1"/>
    </xf>
    <xf numFmtId="165" fontId="1" fillId="3" borderId="0" xfId="5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10" fontId="1" fillId="3" borderId="0" xfId="4" applyNumberForma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165" fontId="22" fillId="3" borderId="0" xfId="5" applyFont="1" applyFill="1" applyBorder="1" applyAlignment="1" applyProtection="1">
      <alignment vertical="center"/>
    </xf>
    <xf numFmtId="165" fontId="19" fillId="3" borderId="0" xfId="5" applyFont="1" applyFill="1" applyBorder="1" applyAlignment="1" applyProtection="1">
      <alignment vertical="center"/>
    </xf>
    <xf numFmtId="0" fontId="22" fillId="3" borderId="0" xfId="0" applyFont="1" applyFill="1" applyBorder="1" applyAlignment="1" applyProtection="1">
      <alignment horizontal="center" vertical="center"/>
    </xf>
    <xf numFmtId="10" fontId="22" fillId="3" borderId="0" xfId="4" applyNumberFormat="1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left" vertical="center" wrapText="1"/>
    </xf>
    <xf numFmtId="165" fontId="20" fillId="3" borderId="0" xfId="5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/>
    <xf numFmtId="10" fontId="1" fillId="3" borderId="21" xfId="4" applyNumberFormat="1" applyFill="1" applyBorder="1" applyAlignment="1" applyProtection="1">
      <alignment vertical="center"/>
    </xf>
    <xf numFmtId="165" fontId="3" fillId="3" borderId="0" xfId="5" applyFont="1" applyFill="1" applyBorder="1" applyAlignment="1" applyProtection="1">
      <alignment vertical="center" wrapText="1"/>
    </xf>
    <xf numFmtId="49" fontId="3" fillId="3" borderId="0" xfId="5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165" fontId="3" fillId="2" borderId="0" xfId="5" applyFont="1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horizontal="left" vertical="center"/>
    </xf>
    <xf numFmtId="165" fontId="0" fillId="2" borderId="0" xfId="0" applyNumberForma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27" fillId="2" borderId="0" xfId="0" applyFont="1" applyFill="1" applyAlignment="1" applyProtection="1">
      <alignment vertical="center"/>
    </xf>
    <xf numFmtId="10" fontId="19" fillId="2" borderId="0" xfId="0" applyNumberFormat="1" applyFont="1" applyFill="1" applyAlignment="1" applyProtection="1">
      <alignment vertical="center"/>
    </xf>
    <xf numFmtId="0" fontId="11" fillId="3" borderId="0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165" fontId="27" fillId="2" borderId="0" xfId="0" applyNumberFormat="1" applyFont="1" applyFill="1" applyAlignment="1" applyProtection="1">
      <alignment vertical="center"/>
    </xf>
    <xf numFmtId="10" fontId="0" fillId="3" borderId="0" xfId="0" applyNumberFormat="1" applyFill="1" applyBorder="1" applyAlignment="1" applyProtection="1">
      <alignment horizontal="center" vertical="center"/>
    </xf>
    <xf numFmtId="165" fontId="27" fillId="2" borderId="0" xfId="5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165" fontId="20" fillId="2" borderId="0" xfId="5" applyFont="1" applyFill="1" applyAlignment="1" applyProtection="1">
      <alignment vertical="center"/>
    </xf>
    <xf numFmtId="0" fontId="28" fillId="2" borderId="22" xfId="0" applyFont="1" applyFill="1" applyBorder="1" applyAlignment="1" applyProtection="1">
      <alignment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vertical="center"/>
    </xf>
    <xf numFmtId="0" fontId="28" fillId="2" borderId="24" xfId="0" applyFont="1" applyFill="1" applyBorder="1" applyAlignment="1" applyProtection="1">
      <alignment vertical="center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vertical="center"/>
    </xf>
    <xf numFmtId="165" fontId="7" fillId="2" borderId="24" xfId="5" applyFont="1" applyFill="1" applyBorder="1" applyAlignment="1" applyProtection="1">
      <alignment vertical="center"/>
    </xf>
    <xf numFmtId="0" fontId="28" fillId="2" borderId="25" xfId="0" applyFont="1" applyFill="1" applyBorder="1" applyAlignment="1" applyProtection="1">
      <alignment vertical="center"/>
    </xf>
    <xf numFmtId="165" fontId="7" fillId="2" borderId="0" xfId="5" applyFont="1" applyFill="1" applyBorder="1" applyAlignment="1" applyProtection="1">
      <alignment vertical="center"/>
    </xf>
    <xf numFmtId="0" fontId="7" fillId="2" borderId="26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 vertical="center"/>
    </xf>
    <xf numFmtId="0" fontId="24" fillId="2" borderId="0" xfId="0" applyFont="1" applyFill="1" applyBorder="1" applyAlignment="1" applyProtection="1">
      <alignment horizontal="right" vertical="center"/>
    </xf>
    <xf numFmtId="0" fontId="28" fillId="2" borderId="27" xfId="0" applyFont="1" applyFill="1" applyBorder="1" applyAlignment="1" applyProtection="1">
      <alignment vertical="center"/>
    </xf>
    <xf numFmtId="0" fontId="7" fillId="2" borderId="28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left" vertical="center"/>
    </xf>
    <xf numFmtId="0" fontId="7" fillId="2" borderId="28" xfId="0" applyFont="1" applyFill="1" applyBorder="1" applyAlignment="1" applyProtection="1">
      <alignment vertical="center"/>
    </xf>
    <xf numFmtId="165" fontId="7" fillId="2" borderId="28" xfId="5" applyFont="1" applyFill="1" applyBorder="1" applyAlignment="1" applyProtection="1">
      <alignment vertical="center"/>
    </xf>
    <xf numFmtId="0" fontId="7" fillId="2" borderId="29" xfId="0" applyFont="1" applyFill="1" applyBorder="1" applyAlignment="1" applyProtection="1">
      <alignment vertical="center"/>
    </xf>
    <xf numFmtId="0" fontId="45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1" fontId="28" fillId="2" borderId="0" xfId="0" applyNumberFormat="1" applyFont="1" applyFill="1" applyBorder="1" applyAlignment="1" applyProtection="1">
      <alignment horizontal="center" vertical="center" wrapText="1"/>
    </xf>
    <xf numFmtId="1" fontId="7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165" fontId="7" fillId="2" borderId="0" xfId="5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5" fontId="7" fillId="2" borderId="24" xfId="5" applyFont="1" applyFill="1" applyBorder="1" applyAlignment="1" applyProtection="1">
      <alignment horizontal="center" vertical="center" wrapText="1"/>
    </xf>
    <xf numFmtId="167" fontId="7" fillId="2" borderId="24" xfId="5" applyNumberFormat="1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vertical="center"/>
    </xf>
    <xf numFmtId="0" fontId="20" fillId="2" borderId="23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horizontal="right" vertical="center" wrapText="1"/>
    </xf>
    <xf numFmtId="0" fontId="28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165" fontId="7" fillId="2" borderId="0" xfId="0" applyNumberFormat="1" applyFont="1" applyFill="1" applyAlignment="1" applyProtection="1">
      <alignment vertical="center"/>
    </xf>
    <xf numFmtId="0" fontId="10" fillId="2" borderId="30" xfId="0" applyFont="1" applyFill="1" applyBorder="1" applyAlignment="1" applyProtection="1">
      <alignment horizontal="left" vertical="center"/>
    </xf>
    <xf numFmtId="165" fontId="7" fillId="2" borderId="30" xfId="5" applyFont="1" applyFill="1" applyBorder="1" applyAlignment="1" applyProtection="1">
      <alignment vertical="center"/>
    </xf>
    <xf numFmtId="0" fontId="28" fillId="2" borderId="8" xfId="0" applyFont="1" applyFill="1" applyBorder="1" applyAlignment="1" applyProtection="1">
      <alignment horizontal="center" vertical="center" wrapText="1"/>
    </xf>
    <xf numFmtId="169" fontId="7" fillId="2" borderId="0" xfId="0" applyNumberFormat="1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right" vertical="center" wrapText="1"/>
    </xf>
    <xf numFmtId="0" fontId="28" fillId="2" borderId="8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 wrapText="1"/>
    </xf>
    <xf numFmtId="165" fontId="20" fillId="2" borderId="0" xfId="5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/>
    </xf>
    <xf numFmtId="169" fontId="7" fillId="2" borderId="11" xfId="0" applyNumberFormat="1" applyFont="1" applyFill="1" applyBorder="1" applyAlignment="1" applyProtection="1">
      <alignment horizontal="center" vertical="center" wrapText="1"/>
    </xf>
    <xf numFmtId="169" fontId="7" fillId="2" borderId="8" xfId="0" applyNumberFormat="1" applyFont="1" applyFill="1" applyBorder="1" applyAlignment="1" applyProtection="1">
      <alignment horizontal="center" vertical="center" wrapText="1"/>
    </xf>
    <xf numFmtId="10" fontId="10" fillId="2" borderId="16" xfId="0" applyNumberFormat="1" applyFont="1" applyFill="1" applyBorder="1" applyAlignment="1" applyProtection="1">
      <alignment horizontal="center" vertical="center"/>
    </xf>
    <xf numFmtId="165" fontId="10" fillId="2" borderId="31" xfId="5" applyFont="1" applyFill="1" applyBorder="1" applyAlignment="1" applyProtection="1">
      <alignment vertical="center"/>
    </xf>
    <xf numFmtId="0" fontId="20" fillId="2" borderId="11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left" vertical="center"/>
    </xf>
    <xf numFmtId="10" fontId="7" fillId="2" borderId="32" xfId="0" applyNumberFormat="1" applyFont="1" applyFill="1" applyBorder="1" applyAlignment="1" applyProtection="1">
      <alignment horizontal="center" vertical="center"/>
    </xf>
    <xf numFmtId="165" fontId="7" fillId="2" borderId="32" xfId="5" applyFont="1" applyFill="1" applyBorder="1" applyAlignment="1" applyProtection="1">
      <alignment vertical="center"/>
    </xf>
    <xf numFmtId="0" fontId="20" fillId="2" borderId="9" xfId="0" applyFont="1" applyFill="1" applyBorder="1" applyAlignment="1" applyProtection="1">
      <alignment vertical="center"/>
    </xf>
    <xf numFmtId="0" fontId="19" fillId="2" borderId="12" xfId="0" applyFont="1" applyFill="1" applyBorder="1" applyAlignment="1" applyProtection="1">
      <alignment horizontal="right" vertical="center" wrapText="1"/>
    </xf>
    <xf numFmtId="0" fontId="19" fillId="2" borderId="9" xfId="0" applyFont="1" applyFill="1" applyBorder="1" applyAlignment="1" applyProtection="1">
      <alignment horizontal="right" vertical="center" wrapText="1"/>
    </xf>
    <xf numFmtId="10" fontId="19" fillId="2" borderId="23" xfId="0" applyNumberFormat="1" applyFont="1" applyFill="1" applyBorder="1" applyAlignment="1" applyProtection="1">
      <alignment horizontal="center" vertical="center" wrapText="1"/>
    </xf>
    <xf numFmtId="169" fontId="7" fillId="2" borderId="9" xfId="0" applyNumberFormat="1" applyFont="1" applyFill="1" applyBorder="1" applyAlignment="1" applyProtection="1">
      <alignment horizontal="center" vertical="center" wrapText="1"/>
    </xf>
    <xf numFmtId="165" fontId="10" fillId="2" borderId="10" xfId="0" applyNumberFormat="1" applyFont="1" applyFill="1" applyBorder="1" applyAlignment="1" applyProtection="1">
      <alignment vertical="center"/>
    </xf>
    <xf numFmtId="10" fontId="22" fillId="2" borderId="23" xfId="0" applyNumberFormat="1" applyFont="1" applyFill="1" applyBorder="1" applyAlignment="1" applyProtection="1">
      <alignment horizontal="center" vertical="center" wrapText="1"/>
    </xf>
    <xf numFmtId="0" fontId="20" fillId="2" borderId="33" xfId="0" applyFont="1" applyFill="1" applyBorder="1" applyAlignment="1" applyProtection="1">
      <alignment vertical="center"/>
    </xf>
    <xf numFmtId="165" fontId="20" fillId="2" borderId="0" xfId="0" applyNumberFormat="1" applyFont="1" applyFill="1" applyAlignment="1" applyProtection="1">
      <alignment vertical="center"/>
    </xf>
    <xf numFmtId="0" fontId="46" fillId="2" borderId="0" xfId="0" applyFont="1" applyFill="1" applyBorder="1" applyAlignment="1" applyProtection="1">
      <alignment vertical="center"/>
    </xf>
    <xf numFmtId="0" fontId="47" fillId="2" borderId="0" xfId="0" applyFont="1" applyFill="1" applyBorder="1" applyAlignment="1" applyProtection="1">
      <alignment horizontal="center" vertical="center"/>
    </xf>
    <xf numFmtId="2" fontId="39" fillId="2" borderId="0" xfId="0" applyNumberFormat="1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165" fontId="20" fillId="2" borderId="9" xfId="5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right" vertical="center"/>
    </xf>
    <xf numFmtId="179" fontId="20" fillId="2" borderId="0" xfId="4" applyNumberFormat="1" applyFont="1" applyFill="1" applyAlignment="1" applyProtection="1">
      <alignment vertical="center"/>
    </xf>
    <xf numFmtId="2" fontId="53" fillId="2" borderId="0" xfId="0" applyNumberFormat="1" applyFont="1" applyFill="1" applyAlignment="1" applyProtection="1">
      <alignment vertical="center"/>
    </xf>
    <xf numFmtId="0" fontId="48" fillId="2" borderId="0" xfId="0" applyFont="1" applyFill="1" applyBorder="1" applyAlignment="1" applyProtection="1">
      <alignment horizontal="center" vertical="center"/>
    </xf>
    <xf numFmtId="0" fontId="76" fillId="2" borderId="25" xfId="0" applyFont="1" applyFill="1" applyBorder="1" applyAlignment="1" applyProtection="1">
      <alignment vertical="center"/>
    </xf>
    <xf numFmtId="0" fontId="54" fillId="2" borderId="0" xfId="0" applyFont="1" applyFill="1" applyBorder="1" applyAlignment="1" applyProtection="1">
      <alignment horizontal="left" vertical="center"/>
    </xf>
    <xf numFmtId="0" fontId="77" fillId="2" borderId="0" xfId="0" applyFont="1" applyFill="1" applyBorder="1" applyAlignment="1" applyProtection="1">
      <alignment horizontal="center" vertical="center"/>
    </xf>
    <xf numFmtId="0" fontId="54" fillId="2" borderId="34" xfId="0" applyFont="1" applyFill="1" applyBorder="1" applyAlignment="1" applyProtection="1">
      <alignment horizontal="center" vertical="center" wrapText="1"/>
    </xf>
    <xf numFmtId="0" fontId="54" fillId="2" borderId="35" xfId="0" applyFont="1" applyFill="1" applyBorder="1" applyAlignment="1" applyProtection="1">
      <alignment horizontal="center" vertical="center" wrapText="1"/>
    </xf>
    <xf numFmtId="0" fontId="77" fillId="2" borderId="35" xfId="0" applyFont="1" applyFill="1" applyBorder="1" applyAlignment="1" applyProtection="1">
      <alignment horizontal="center" vertical="center" wrapText="1"/>
    </xf>
    <xf numFmtId="165" fontId="54" fillId="2" borderId="36" xfId="5" applyFont="1" applyFill="1" applyBorder="1" applyAlignment="1" applyProtection="1">
      <alignment horizontal="center" vertical="center" wrapText="1"/>
    </xf>
    <xf numFmtId="1" fontId="62" fillId="2" borderId="37" xfId="0" applyNumberFormat="1" applyFont="1" applyFill="1" applyBorder="1" applyAlignment="1" applyProtection="1">
      <alignment horizontal="center" vertical="center" wrapText="1"/>
    </xf>
    <xf numFmtId="167" fontId="62" fillId="2" borderId="24" xfId="5" applyNumberFormat="1" applyFont="1" applyFill="1" applyBorder="1" applyAlignment="1" applyProtection="1">
      <alignment vertical="center" wrapText="1"/>
    </xf>
    <xf numFmtId="0" fontId="50" fillId="2" borderId="22" xfId="0" applyFont="1" applyFill="1" applyBorder="1" applyAlignment="1" applyProtection="1">
      <alignment horizontal="right" vertical="center" wrapText="1"/>
    </xf>
    <xf numFmtId="0" fontId="50" fillId="2" borderId="23" xfId="0" applyFont="1" applyFill="1" applyBorder="1" applyAlignment="1" applyProtection="1">
      <alignment horizontal="right" vertical="center" wrapText="1"/>
    </xf>
    <xf numFmtId="0" fontId="26" fillId="2" borderId="23" xfId="0" applyFont="1" applyFill="1" applyBorder="1" applyAlignment="1" applyProtection="1">
      <alignment horizontal="center" vertical="center" wrapText="1"/>
    </xf>
    <xf numFmtId="165" fontId="50" fillId="2" borderId="10" xfId="5" applyNumberFormat="1" applyFont="1" applyFill="1" applyBorder="1" applyAlignment="1" applyProtection="1">
      <alignment horizontal="center" vertical="center" wrapText="1"/>
    </xf>
    <xf numFmtId="165" fontId="62" fillId="2" borderId="38" xfId="5" applyFont="1" applyFill="1" applyBorder="1" applyAlignment="1" applyProtection="1">
      <alignment horizontal="center" vertical="center" wrapText="1"/>
    </xf>
    <xf numFmtId="0" fontId="75" fillId="2" borderId="0" xfId="0" applyFont="1" applyFill="1" applyAlignment="1" applyProtection="1">
      <alignment vertical="center"/>
    </xf>
    <xf numFmtId="165" fontId="50" fillId="2" borderId="33" xfId="5" applyFont="1" applyFill="1" applyBorder="1" applyAlignment="1" applyProtection="1">
      <alignment horizontal="center" vertical="center" wrapText="1"/>
    </xf>
    <xf numFmtId="0" fontId="62" fillId="2" borderId="23" xfId="0" applyFont="1" applyFill="1" applyBorder="1" applyAlignment="1" applyProtection="1">
      <alignment horizontal="center" vertical="center" wrapText="1"/>
    </xf>
    <xf numFmtId="0" fontId="62" fillId="2" borderId="33" xfId="0" applyFont="1" applyFill="1" applyBorder="1" applyAlignment="1" applyProtection="1">
      <alignment horizontal="center" vertical="center" wrapText="1"/>
    </xf>
    <xf numFmtId="0" fontId="62" fillId="2" borderId="7" xfId="0" applyFont="1" applyFill="1" applyBorder="1" applyAlignment="1" applyProtection="1">
      <alignment horizontal="center" vertical="center" wrapText="1"/>
    </xf>
    <xf numFmtId="4" fontId="62" fillId="2" borderId="7" xfId="0" applyNumberFormat="1" applyFont="1" applyFill="1" applyBorder="1" applyAlignment="1" applyProtection="1">
      <alignment horizontal="center" vertical="center" wrapText="1"/>
    </xf>
    <xf numFmtId="0" fontId="50" fillId="2" borderId="23" xfId="0" applyFont="1" applyFill="1" applyBorder="1" applyAlignment="1" applyProtection="1">
      <alignment horizontal="right" vertical="center"/>
    </xf>
    <xf numFmtId="165" fontId="50" fillId="2" borderId="33" xfId="5" applyFont="1" applyFill="1" applyBorder="1" applyAlignment="1" applyProtection="1">
      <alignment horizontal="left" vertical="center" wrapText="1"/>
      <protection locked="0"/>
    </xf>
    <xf numFmtId="0" fontId="50" fillId="2" borderId="24" xfId="0" applyFont="1" applyFill="1" applyBorder="1" applyAlignment="1" applyProtection="1">
      <alignment horizontal="left" vertical="center"/>
    </xf>
    <xf numFmtId="0" fontId="82" fillId="2" borderId="39" xfId="0" applyFont="1" applyFill="1" applyBorder="1" applyAlignment="1" applyProtection="1">
      <alignment vertical="center"/>
    </xf>
    <xf numFmtId="0" fontId="82" fillId="2" borderId="39" xfId="0" applyFont="1" applyFill="1" applyBorder="1" applyAlignment="1" applyProtection="1">
      <alignment horizontal="center" vertical="center"/>
    </xf>
    <xf numFmtId="22" fontId="82" fillId="2" borderId="0" xfId="0" applyNumberFormat="1" applyFont="1" applyFill="1" applyBorder="1" applyAlignment="1" applyProtection="1">
      <alignment horizontal="center" vertical="center"/>
    </xf>
    <xf numFmtId="0" fontId="48" fillId="2" borderId="26" xfId="0" applyFont="1" applyFill="1" applyBorder="1" applyAlignment="1" applyProtection="1">
      <alignment horizontal="left" vertical="center" wrapText="1"/>
    </xf>
    <xf numFmtId="10" fontId="81" fillId="2" borderId="25" xfId="0" applyNumberFormat="1" applyFont="1" applyFill="1" applyBorder="1" applyAlignment="1" applyProtection="1">
      <alignment vertical="center"/>
    </xf>
    <xf numFmtId="0" fontId="75" fillId="2" borderId="26" xfId="0" applyFont="1" applyFill="1" applyBorder="1" applyAlignment="1" applyProtection="1">
      <alignment vertical="center"/>
    </xf>
    <xf numFmtId="0" fontId="85" fillId="3" borderId="0" xfId="0" applyFont="1" applyFill="1" applyBorder="1" applyAlignment="1" applyProtection="1">
      <alignment horizontal="left" vertical="center" wrapText="1"/>
    </xf>
    <xf numFmtId="0" fontId="87" fillId="3" borderId="0" xfId="0" applyFont="1" applyFill="1" applyBorder="1" applyAlignment="1" applyProtection="1">
      <alignment horizontal="left" vertical="center" wrapText="1"/>
    </xf>
    <xf numFmtId="10" fontId="63" fillId="3" borderId="13" xfId="0" applyNumberFormat="1" applyFont="1" applyFill="1" applyBorder="1" applyAlignment="1" applyProtection="1">
      <alignment horizontal="center" vertical="center" wrapText="1"/>
    </xf>
    <xf numFmtId="10" fontId="90" fillId="3" borderId="0" xfId="0" applyNumberFormat="1" applyFont="1" applyFill="1" applyBorder="1" applyAlignment="1" applyProtection="1">
      <alignment horizontal="center" vertical="center" wrapText="1"/>
    </xf>
    <xf numFmtId="0" fontId="50" fillId="3" borderId="0" xfId="0" applyFont="1" applyFill="1" applyBorder="1" applyAlignment="1" applyProtection="1">
      <alignment horizontal="center" vertical="center"/>
    </xf>
    <xf numFmtId="0" fontId="78" fillId="3" borderId="0" xfId="0" applyFont="1" applyFill="1" applyBorder="1" applyAlignment="1" applyProtection="1">
      <alignment vertical="center"/>
    </xf>
    <xf numFmtId="0" fontId="26" fillId="3" borderId="0" xfId="0" applyFont="1" applyFill="1" applyBorder="1" applyAlignment="1" applyProtection="1">
      <alignment horizontal="center" vertical="center" wrapText="1"/>
    </xf>
    <xf numFmtId="10" fontId="59" fillId="2" borderId="0" xfId="0" applyNumberFormat="1" applyFont="1" applyFill="1" applyAlignment="1" applyProtection="1">
      <alignment vertical="center"/>
    </xf>
    <xf numFmtId="0" fontId="89" fillId="3" borderId="0" xfId="0" applyFont="1" applyFill="1" applyBorder="1" applyAlignment="1" applyProtection="1">
      <alignment vertical="center" wrapText="1"/>
    </xf>
    <xf numFmtId="0" fontId="91" fillId="2" borderId="0" xfId="0" applyFont="1" applyFill="1" applyAlignment="1" applyProtection="1">
      <alignment vertical="center"/>
    </xf>
    <xf numFmtId="0" fontId="62" fillId="3" borderId="0" xfId="0" applyFont="1" applyFill="1" applyBorder="1" applyAlignment="1" applyProtection="1">
      <alignment horizontal="center" vertical="center"/>
    </xf>
    <xf numFmtId="10" fontId="50" fillId="3" borderId="13" xfId="0" applyNumberFormat="1" applyFont="1" applyFill="1" applyBorder="1" applyAlignment="1" applyProtection="1">
      <alignment horizontal="center" vertical="center"/>
    </xf>
    <xf numFmtId="10" fontId="50" fillId="3" borderId="14" xfId="0" applyNumberFormat="1" applyFont="1" applyFill="1" applyBorder="1" applyAlignment="1" applyProtection="1">
      <alignment horizontal="center" vertical="center"/>
      <protection locked="0"/>
    </xf>
    <xf numFmtId="10" fontId="50" fillId="3" borderId="13" xfId="0" applyNumberFormat="1" applyFont="1" applyFill="1" applyBorder="1" applyAlignment="1" applyProtection="1">
      <alignment horizontal="center" vertical="center"/>
      <protection locked="0"/>
    </xf>
    <xf numFmtId="0" fontId="75" fillId="2" borderId="0" xfId="0" applyFont="1" applyFill="1" applyBorder="1" applyAlignment="1" applyProtection="1">
      <alignment vertical="center"/>
    </xf>
    <xf numFmtId="0" fontId="50" fillId="3" borderId="0" xfId="0" applyFont="1" applyFill="1" applyBorder="1" applyAlignment="1" applyProtection="1">
      <alignment horizontal="center" vertical="center" wrapText="1"/>
    </xf>
    <xf numFmtId="10" fontId="78" fillId="3" borderId="0" xfId="4" applyNumberFormat="1" applyFont="1" applyFill="1" applyBorder="1" applyAlignment="1" applyProtection="1">
      <alignment vertical="center"/>
    </xf>
    <xf numFmtId="0" fontId="50" fillId="3" borderId="0" xfId="0" applyFont="1" applyFill="1" applyBorder="1" applyAlignment="1" applyProtection="1">
      <alignment horizontal="left" vertical="center"/>
    </xf>
    <xf numFmtId="0" fontId="50" fillId="3" borderId="0" xfId="0" applyFont="1" applyFill="1" applyBorder="1" applyAlignment="1" applyProtection="1">
      <alignment horizontal="left" vertical="center" wrapText="1"/>
    </xf>
    <xf numFmtId="0" fontId="85" fillId="3" borderId="0" xfId="0" applyFont="1" applyFill="1" applyBorder="1" applyAlignment="1" applyProtection="1"/>
    <xf numFmtId="0" fontId="84" fillId="3" borderId="0" xfId="0" applyFont="1" applyFill="1" applyBorder="1" applyAlignment="1" applyProtection="1">
      <alignment horizontal="center"/>
    </xf>
    <xf numFmtId="49" fontId="50" fillId="3" borderId="0" xfId="5" applyNumberFormat="1" applyFont="1" applyFill="1" applyBorder="1" applyAlignment="1" applyProtection="1">
      <alignment horizontal="center" vertical="center"/>
    </xf>
    <xf numFmtId="10" fontId="75" fillId="3" borderId="0" xfId="4" applyNumberFormat="1" applyFont="1" applyFill="1" applyBorder="1" applyAlignment="1" applyProtection="1">
      <alignment vertical="center"/>
    </xf>
    <xf numFmtId="10" fontId="50" fillId="3" borderId="0" xfId="0" applyNumberFormat="1" applyFont="1" applyFill="1" applyBorder="1" applyAlignment="1" applyProtection="1">
      <alignment horizontal="center" vertical="center" wrapText="1"/>
    </xf>
    <xf numFmtId="165" fontId="75" fillId="3" borderId="0" xfId="5" applyFont="1" applyFill="1" applyBorder="1" applyAlignment="1" applyProtection="1">
      <alignment vertical="center" wrapText="1"/>
    </xf>
    <xf numFmtId="0" fontId="75" fillId="3" borderId="0" xfId="0" applyFont="1" applyFill="1" applyBorder="1" applyAlignment="1" applyProtection="1">
      <alignment horizontal="center" vertical="center" wrapText="1"/>
    </xf>
    <xf numFmtId="165" fontId="50" fillId="3" borderId="0" xfId="5" applyFont="1" applyFill="1" applyBorder="1" applyAlignment="1" applyProtection="1">
      <alignment vertical="center" wrapText="1"/>
    </xf>
    <xf numFmtId="0" fontId="62" fillId="3" borderId="0" xfId="0" applyFont="1" applyFill="1" applyBorder="1" applyAlignment="1" applyProtection="1">
      <alignment horizontal="center" vertical="center" wrapText="1"/>
    </xf>
    <xf numFmtId="0" fontId="75" fillId="3" borderId="0" xfId="0" applyFont="1" applyFill="1" applyBorder="1" applyAlignment="1" applyProtection="1">
      <alignment horizontal="left" vertical="center"/>
    </xf>
    <xf numFmtId="165" fontId="75" fillId="3" borderId="0" xfId="5" applyFont="1" applyFill="1" applyBorder="1" applyAlignment="1" applyProtection="1">
      <alignment vertical="center"/>
    </xf>
    <xf numFmtId="1" fontId="75" fillId="3" borderId="0" xfId="0" applyNumberFormat="1" applyFont="1" applyFill="1" applyBorder="1" applyAlignment="1" applyProtection="1">
      <alignment horizontal="center" vertical="center"/>
    </xf>
    <xf numFmtId="0" fontId="75" fillId="3" borderId="0" xfId="0" applyFont="1" applyFill="1" applyBorder="1" applyAlignment="1" applyProtection="1">
      <alignment horizontal="center" vertical="center"/>
    </xf>
    <xf numFmtId="10" fontId="78" fillId="2" borderId="0" xfId="0" applyNumberFormat="1" applyFont="1" applyFill="1" applyBorder="1" applyAlignment="1" applyProtection="1">
      <alignment vertical="center"/>
    </xf>
    <xf numFmtId="0" fontId="78" fillId="2" borderId="0" xfId="0" applyFont="1" applyFill="1" applyBorder="1" applyAlignment="1" applyProtection="1">
      <alignment vertical="center"/>
    </xf>
    <xf numFmtId="0" fontId="79" fillId="2" borderId="0" xfId="0" applyFont="1" applyFill="1" applyBorder="1" applyAlignment="1" applyProtection="1">
      <alignment vertical="center"/>
    </xf>
    <xf numFmtId="2" fontId="75" fillId="3" borderId="0" xfId="0" applyNumberFormat="1" applyFont="1" applyFill="1" applyBorder="1" applyAlignment="1" applyProtection="1">
      <alignment horizontal="center" vertical="center" wrapText="1"/>
    </xf>
    <xf numFmtId="2" fontId="75" fillId="2" borderId="0" xfId="0" applyNumberFormat="1" applyFont="1" applyFill="1" applyBorder="1" applyAlignment="1" applyProtection="1">
      <alignment vertical="center"/>
    </xf>
    <xf numFmtId="10" fontId="63" fillId="3" borderId="0" xfId="0" applyNumberFormat="1" applyFont="1" applyFill="1" applyBorder="1" applyAlignment="1" applyProtection="1">
      <alignment horizontal="center" vertical="center" wrapText="1"/>
    </xf>
    <xf numFmtId="165" fontId="50" fillId="3" borderId="0" xfId="5" applyFont="1" applyFill="1" applyBorder="1" applyAlignment="1" applyProtection="1">
      <alignment vertical="center"/>
    </xf>
    <xf numFmtId="165" fontId="75" fillId="3" borderId="0" xfId="5" applyFont="1" applyFill="1" applyBorder="1" applyAlignment="1" applyProtection="1">
      <alignment horizontal="center" vertical="center"/>
    </xf>
    <xf numFmtId="165" fontId="50" fillId="2" borderId="40" xfId="5" applyNumberFormat="1" applyFont="1" applyFill="1" applyBorder="1" applyAlignment="1" applyProtection="1">
      <alignment horizontal="center" vertical="center" wrapText="1"/>
    </xf>
    <xf numFmtId="165" fontId="26" fillId="2" borderId="33" xfId="5" applyFont="1" applyFill="1" applyBorder="1" applyAlignment="1" applyProtection="1">
      <alignment horizontal="right" vertical="center" wrapText="1"/>
    </xf>
    <xf numFmtId="165" fontId="50" fillId="2" borderId="33" xfId="5" applyNumberFormat="1" applyFont="1" applyFill="1" applyBorder="1" applyAlignment="1" applyProtection="1">
      <alignment horizontal="center" vertical="center" wrapText="1"/>
    </xf>
    <xf numFmtId="0" fontId="50" fillId="3" borderId="41" xfId="0" applyFont="1" applyFill="1" applyBorder="1" applyAlignment="1" applyProtection="1">
      <alignment horizontal="center" vertical="center" wrapText="1"/>
    </xf>
    <xf numFmtId="0" fontId="50" fillId="3" borderId="42" xfId="0" applyFont="1" applyFill="1" applyBorder="1" applyAlignment="1" applyProtection="1">
      <alignment horizontal="center" vertical="center" wrapText="1"/>
    </xf>
    <xf numFmtId="0" fontId="74" fillId="3" borderId="41" xfId="0" applyFont="1" applyFill="1" applyBorder="1" applyAlignment="1" applyProtection="1">
      <alignment horizontal="center" vertical="center" wrapText="1"/>
    </xf>
    <xf numFmtId="0" fontId="24" fillId="3" borderId="41" xfId="0" applyFont="1" applyFill="1" applyBorder="1" applyAlignment="1" applyProtection="1">
      <alignment horizontal="center" vertical="center" wrapText="1"/>
    </xf>
    <xf numFmtId="165" fontId="79" fillId="3" borderId="13" xfId="5" applyFont="1" applyFill="1" applyBorder="1" applyAlignment="1" applyProtection="1">
      <alignment vertical="center"/>
    </xf>
    <xf numFmtId="165" fontId="79" fillId="3" borderId="13" xfId="0" applyNumberFormat="1" applyFont="1" applyFill="1" applyBorder="1" applyAlignment="1" applyProtection="1">
      <alignment horizontal="center" vertical="center"/>
    </xf>
    <xf numFmtId="165" fontId="79" fillId="3" borderId="13" xfId="4" applyNumberFormat="1" applyFont="1" applyFill="1" applyBorder="1" applyAlignment="1" applyProtection="1">
      <alignment vertical="center"/>
    </xf>
    <xf numFmtId="10" fontId="78" fillId="3" borderId="13" xfId="4" applyNumberFormat="1" applyFont="1" applyFill="1" applyBorder="1" applyAlignment="1" applyProtection="1">
      <alignment vertical="center"/>
    </xf>
    <xf numFmtId="165" fontId="50" fillId="3" borderId="13" xfId="5" applyFont="1" applyFill="1" applyBorder="1" applyAlignment="1" applyProtection="1">
      <alignment vertical="center" wrapText="1"/>
    </xf>
    <xf numFmtId="165" fontId="50" fillId="3" borderId="13" xfId="5" applyNumberFormat="1" applyFont="1" applyFill="1" applyBorder="1" applyAlignment="1" applyProtection="1">
      <alignment vertical="center" wrapText="1"/>
    </xf>
    <xf numFmtId="0" fontId="61" fillId="3" borderId="13" xfId="0" applyFont="1" applyFill="1" applyBorder="1" applyAlignment="1" applyProtection="1">
      <alignment horizontal="center" vertical="center" wrapText="1"/>
    </xf>
    <xf numFmtId="165" fontId="75" fillId="3" borderId="13" xfId="5" applyFont="1" applyFill="1" applyBorder="1" applyAlignment="1" applyProtection="1">
      <alignment vertical="center"/>
    </xf>
    <xf numFmtId="0" fontId="50" fillId="3" borderId="43" xfId="0" applyFont="1" applyFill="1" applyBorder="1" applyAlignment="1" applyProtection="1">
      <alignment horizontal="left" vertical="center"/>
    </xf>
    <xf numFmtId="0" fontId="50" fillId="3" borderId="41" xfId="0" applyFont="1" applyFill="1" applyBorder="1" applyAlignment="1" applyProtection="1">
      <alignment horizontal="left" vertical="center"/>
    </xf>
    <xf numFmtId="10" fontId="63" fillId="3" borderId="41" xfId="0" applyNumberFormat="1" applyFont="1" applyFill="1" applyBorder="1" applyAlignment="1" applyProtection="1">
      <alignment horizontal="left" vertical="center"/>
    </xf>
    <xf numFmtId="0" fontId="75" fillId="2" borderId="41" xfId="0" applyFont="1" applyFill="1" applyBorder="1" applyAlignment="1" applyProtection="1">
      <alignment vertical="center"/>
    </xf>
    <xf numFmtId="49" fontId="50" fillId="3" borderId="41" xfId="5" applyNumberFormat="1" applyFont="1" applyFill="1" applyBorder="1" applyAlignment="1" applyProtection="1">
      <alignment horizontal="center" vertical="center"/>
    </xf>
    <xf numFmtId="0" fontId="75" fillId="3" borderId="41" xfId="0" applyFont="1" applyFill="1" applyBorder="1" applyAlignment="1" applyProtection="1">
      <alignment horizontal="center" vertical="center" wrapText="1"/>
    </xf>
    <xf numFmtId="10" fontId="50" fillId="3" borderId="42" xfId="4" applyNumberFormat="1" applyFont="1" applyFill="1" applyBorder="1" applyAlignment="1" applyProtection="1">
      <alignment horizontal="right" vertical="center"/>
    </xf>
    <xf numFmtId="0" fontId="50" fillId="3" borderId="43" xfId="0" applyFont="1" applyFill="1" applyBorder="1" applyAlignment="1" applyProtection="1">
      <alignment vertical="center"/>
    </xf>
    <xf numFmtId="0" fontId="50" fillId="3" borderId="41" xfId="0" applyFont="1" applyFill="1" applyBorder="1" applyAlignment="1" applyProtection="1">
      <alignment vertical="center"/>
    </xf>
    <xf numFmtId="0" fontId="50" fillId="3" borderId="42" xfId="0" applyFont="1" applyFill="1" applyBorder="1" applyAlignment="1" applyProtection="1">
      <alignment vertical="center"/>
    </xf>
    <xf numFmtId="0" fontId="50" fillId="3" borderId="44" xfId="0" applyFont="1" applyFill="1" applyBorder="1" applyAlignment="1" applyProtection="1">
      <alignment horizontal="center" vertical="center" wrapText="1"/>
    </xf>
    <xf numFmtId="0" fontId="62" fillId="3" borderId="45" xfId="0" applyFont="1" applyFill="1" applyBorder="1" applyAlignment="1" applyProtection="1">
      <alignment horizontal="center" vertical="center" wrapText="1"/>
    </xf>
    <xf numFmtId="9" fontId="5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/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Protection="1"/>
    <xf numFmtId="0" fontId="20" fillId="0" borderId="0" xfId="0" applyFont="1" applyFill="1" applyBorder="1" applyAlignment="1" applyProtection="1">
      <alignment vertical="center"/>
    </xf>
    <xf numFmtId="165" fontId="3" fillId="0" borderId="0" xfId="5" applyFont="1" applyFill="1" applyBorder="1" applyAlignment="1" applyProtection="1">
      <alignment horizontal="left" vertical="center"/>
    </xf>
    <xf numFmtId="167" fontId="3" fillId="0" borderId="0" xfId="5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vertical="center"/>
    </xf>
    <xf numFmtId="0" fontId="22" fillId="0" borderId="0" xfId="0" applyFont="1" applyFill="1" applyProtection="1"/>
    <xf numFmtId="0" fontId="22" fillId="0" borderId="0" xfId="0" applyFont="1" applyFill="1"/>
    <xf numFmtId="3" fontId="19" fillId="0" borderId="0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 vertical="center"/>
    </xf>
    <xf numFmtId="49" fontId="19" fillId="0" borderId="0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165" fontId="22" fillId="0" borderId="0" xfId="0" applyNumberFormat="1" applyFont="1" applyFill="1"/>
    <xf numFmtId="0" fontId="3" fillId="0" borderId="0" xfId="0" applyFont="1" applyFill="1" applyAlignment="1" applyProtection="1">
      <alignment vertical="center"/>
    </xf>
    <xf numFmtId="173" fontId="3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Protection="1"/>
    <xf numFmtId="0" fontId="20" fillId="0" borderId="0" xfId="0" applyFont="1" applyFill="1" applyBorder="1"/>
    <xf numFmtId="0" fontId="26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Protection="1">
      <protection hidden="1"/>
    </xf>
    <xf numFmtId="0" fontId="28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vertical="top"/>
    </xf>
    <xf numFmtId="4" fontId="20" fillId="0" borderId="0" xfId="0" applyNumberFormat="1" applyFont="1" applyFill="1" applyAlignment="1" applyProtection="1">
      <alignment vertical="center"/>
    </xf>
    <xf numFmtId="49" fontId="20" fillId="0" borderId="0" xfId="0" applyNumberFormat="1" applyFont="1" applyFill="1" applyAlignment="1" applyProtection="1">
      <alignment vertical="center"/>
    </xf>
    <xf numFmtId="0" fontId="40" fillId="0" borderId="0" xfId="0" applyFont="1" applyFill="1" applyAlignment="1" applyProtection="1">
      <alignment vertical="center"/>
    </xf>
    <xf numFmtId="10" fontId="24" fillId="0" borderId="0" xfId="0" applyNumberFormat="1" applyFont="1" applyFill="1" applyBorder="1" applyAlignment="1" applyProtection="1">
      <alignment horizontal="center" vertical="top"/>
    </xf>
    <xf numFmtId="10" fontId="24" fillId="0" borderId="0" xfId="0" applyNumberFormat="1" applyFont="1" applyFill="1" applyBorder="1" applyAlignment="1" applyProtection="1">
      <alignment horizontal="center" vertical="center" wrapText="1"/>
    </xf>
    <xf numFmtId="4" fontId="24" fillId="0" borderId="0" xfId="0" applyNumberFormat="1" applyFont="1" applyFill="1" applyBorder="1" applyAlignment="1" applyProtection="1">
      <alignment horizontal="center" vertical="center"/>
    </xf>
    <xf numFmtId="10" fontId="24" fillId="0" borderId="0" xfId="0" applyNumberFormat="1" applyFont="1" applyFill="1" applyBorder="1" applyAlignment="1" applyProtection="1">
      <alignment horizontal="center" vertical="center"/>
    </xf>
    <xf numFmtId="0" fontId="40" fillId="0" borderId="0" xfId="0" applyFont="1" applyFill="1" applyBorder="1" applyProtection="1"/>
    <xf numFmtId="0" fontId="40" fillId="0" borderId="0" xfId="0" applyFont="1" applyFill="1" applyBorder="1" applyAlignment="1" applyProtection="1">
      <alignment vertical="center"/>
    </xf>
    <xf numFmtId="10" fontId="10" fillId="0" borderId="0" xfId="0" applyNumberFormat="1" applyFont="1" applyFill="1" applyBorder="1" applyAlignment="1" applyProtection="1">
      <alignment horizontal="center" vertical="top"/>
    </xf>
    <xf numFmtId="10" fontId="10" fillId="0" borderId="0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 applyFill="1" applyBorder="1" applyAlignment="1" applyProtection="1">
      <alignment horizontal="center" vertical="center"/>
    </xf>
    <xf numFmtId="10" fontId="10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7" fillId="0" borderId="0" xfId="0" applyFont="1" applyFill="1" applyAlignment="1" applyProtection="1">
      <alignment vertical="center"/>
    </xf>
    <xf numFmtId="10" fontId="7" fillId="0" borderId="0" xfId="0" applyNumberFormat="1" applyFont="1" applyFill="1" applyBorder="1" applyAlignment="1" applyProtection="1">
      <alignment horizontal="right" vertical="center"/>
    </xf>
    <xf numFmtId="10" fontId="74" fillId="0" borderId="43" xfId="0" applyNumberFormat="1" applyFont="1" applyFill="1" applyBorder="1" applyAlignment="1" applyProtection="1">
      <alignment horizontal="center" vertical="center"/>
    </xf>
    <xf numFmtId="10" fontId="74" fillId="0" borderId="41" xfId="0" applyNumberFormat="1" applyFont="1" applyFill="1" applyBorder="1" applyAlignment="1" applyProtection="1">
      <alignment horizontal="center" vertical="center" wrapText="1"/>
    </xf>
    <xf numFmtId="4" fontId="74" fillId="0" borderId="41" xfId="0" applyNumberFormat="1" applyFont="1" applyFill="1" applyBorder="1" applyAlignment="1" applyProtection="1">
      <alignment horizontal="center" vertical="center"/>
    </xf>
    <xf numFmtId="10" fontId="74" fillId="0" borderId="41" xfId="0" applyNumberFormat="1" applyFont="1" applyFill="1" applyBorder="1" applyAlignment="1" applyProtection="1">
      <alignment horizontal="center" vertical="center"/>
    </xf>
    <xf numFmtId="0" fontId="81" fillId="0" borderId="41" xfId="0" applyFont="1" applyFill="1" applyBorder="1" applyProtection="1"/>
    <xf numFmtId="0" fontId="81" fillId="0" borderId="41" xfId="0" applyFont="1" applyFill="1" applyBorder="1" applyAlignment="1" applyProtection="1">
      <alignment vertical="center"/>
    </xf>
    <xf numFmtId="10" fontId="74" fillId="0" borderId="42" xfId="0" applyNumberFormat="1" applyFont="1" applyFill="1" applyBorder="1" applyAlignment="1" applyProtection="1">
      <alignment horizontal="center" vertical="center" wrapText="1"/>
    </xf>
    <xf numFmtId="0" fontId="47" fillId="0" borderId="43" xfId="0" applyFont="1" applyFill="1" applyBorder="1" applyAlignment="1" applyProtection="1">
      <alignment horizontal="center" vertical="top"/>
    </xf>
    <xf numFmtId="0" fontId="47" fillId="0" borderId="41" xfId="0" applyFont="1" applyFill="1" applyBorder="1" applyAlignment="1" applyProtection="1">
      <alignment horizontal="center" vertical="center"/>
    </xf>
    <xf numFmtId="0" fontId="75" fillId="0" borderId="41" xfId="0" applyFont="1" applyFill="1" applyBorder="1" applyAlignment="1" applyProtection="1">
      <alignment vertical="center"/>
    </xf>
    <xf numFmtId="0" fontId="75" fillId="0" borderId="42" xfId="0" applyFont="1" applyFill="1" applyBorder="1" applyAlignment="1" applyProtection="1">
      <alignment vertical="center"/>
    </xf>
    <xf numFmtId="0" fontId="61" fillId="0" borderId="46" xfId="0" applyFont="1" applyFill="1" applyBorder="1" applyAlignment="1" applyProtection="1">
      <alignment vertical="top" wrapText="1"/>
      <protection locked="0"/>
    </xf>
    <xf numFmtId="1" fontId="61" fillId="0" borderId="47" xfId="0" applyNumberFormat="1" applyFont="1" applyFill="1" applyBorder="1" applyAlignment="1" applyProtection="1">
      <alignment horizontal="center" vertical="center"/>
      <protection locked="0"/>
    </xf>
    <xf numFmtId="4" fontId="61" fillId="0" borderId="47" xfId="0" applyNumberFormat="1" applyFont="1" applyFill="1" applyBorder="1" applyAlignment="1" applyProtection="1">
      <alignment horizontal="center" vertical="center"/>
      <protection locked="0"/>
    </xf>
    <xf numFmtId="165" fontId="61" fillId="0" borderId="48" xfId="5" applyFont="1" applyFill="1" applyBorder="1" applyAlignment="1" applyProtection="1">
      <alignment vertical="center"/>
      <protection locked="0"/>
    </xf>
    <xf numFmtId="0" fontId="61" fillId="0" borderId="49" xfId="0" applyFont="1" applyFill="1" applyBorder="1" applyAlignment="1" applyProtection="1">
      <alignment vertical="top" wrapText="1"/>
      <protection locked="0"/>
    </xf>
    <xf numFmtId="1" fontId="61" fillId="0" borderId="50" xfId="0" applyNumberFormat="1" applyFont="1" applyFill="1" applyBorder="1" applyAlignment="1" applyProtection="1">
      <alignment horizontal="center" vertical="center"/>
      <protection locked="0"/>
    </xf>
    <xf numFmtId="4" fontId="61" fillId="0" borderId="50" xfId="0" applyNumberFormat="1" applyFont="1" applyFill="1" applyBorder="1" applyAlignment="1" applyProtection="1">
      <alignment horizontal="center" vertical="center"/>
      <protection locked="0"/>
    </xf>
    <xf numFmtId="165" fontId="61" fillId="0" borderId="51" xfId="5" applyFont="1" applyFill="1" applyBorder="1" applyAlignment="1" applyProtection="1">
      <alignment vertical="center"/>
      <protection locked="0"/>
    </xf>
    <xf numFmtId="165" fontId="61" fillId="0" borderId="46" xfId="5" applyFont="1" applyFill="1" applyBorder="1" applyAlignment="1" applyProtection="1">
      <alignment horizontal="center" vertical="center"/>
      <protection locked="0"/>
    </xf>
    <xf numFmtId="1" fontId="61" fillId="0" borderId="48" xfId="0" applyNumberFormat="1" applyFont="1" applyFill="1" applyBorder="1" applyAlignment="1" applyProtection="1">
      <alignment horizontal="center" vertical="center"/>
      <protection locked="0"/>
    </xf>
    <xf numFmtId="165" fontId="61" fillId="0" borderId="49" xfId="5" applyFont="1" applyFill="1" applyBorder="1" applyAlignment="1" applyProtection="1">
      <alignment horizontal="center" vertical="center"/>
      <protection locked="0"/>
    </xf>
    <xf numFmtId="1" fontId="61" fillId="0" borderId="51" xfId="0" applyNumberFormat="1" applyFont="1" applyFill="1" applyBorder="1" applyAlignment="1" applyProtection="1">
      <alignment horizontal="center" vertical="center"/>
      <protection locked="0"/>
    </xf>
    <xf numFmtId="10" fontId="61" fillId="0" borderId="14" xfId="5" applyNumberFormat="1" applyFont="1" applyFill="1" applyBorder="1" applyAlignment="1" applyProtection="1">
      <alignment horizontal="center" vertical="center"/>
      <protection locked="0"/>
    </xf>
    <xf numFmtId="10" fontId="61" fillId="0" borderId="13" xfId="5" applyNumberFormat="1" applyFont="1" applyFill="1" applyBorder="1" applyAlignment="1" applyProtection="1">
      <alignment horizontal="center" vertical="center"/>
      <protection locked="0"/>
    </xf>
    <xf numFmtId="165" fontId="92" fillId="0" borderId="14" xfId="5" applyFont="1" applyFill="1" applyBorder="1" applyAlignment="1" applyProtection="1">
      <alignment vertical="center"/>
    </xf>
    <xf numFmtId="165" fontId="92" fillId="0" borderId="13" xfId="5" applyFont="1" applyFill="1" applyBorder="1" applyAlignment="1" applyProtection="1">
      <alignment vertical="center"/>
    </xf>
    <xf numFmtId="0" fontId="93" fillId="0" borderId="0" xfId="0" applyFont="1" applyFill="1" applyBorder="1" applyAlignment="1" applyProtection="1">
      <alignment vertical="center"/>
    </xf>
    <xf numFmtId="165" fontId="93" fillId="0" borderId="14" xfId="5" applyFont="1" applyFill="1" applyBorder="1" applyAlignment="1" applyProtection="1">
      <alignment horizontal="left" vertical="center"/>
    </xf>
    <xf numFmtId="165" fontId="93" fillId="0" borderId="13" xfId="5" applyFont="1" applyFill="1" applyBorder="1" applyAlignment="1" applyProtection="1">
      <alignment horizontal="left" vertical="center"/>
    </xf>
    <xf numFmtId="165" fontId="93" fillId="0" borderId="13" xfId="5" applyFont="1" applyFill="1" applyBorder="1" applyAlignment="1" applyProtection="1">
      <alignment vertical="center"/>
    </xf>
    <xf numFmtId="0" fontId="50" fillId="0" borderId="0" xfId="0" applyFont="1" applyFill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/>
    </xf>
    <xf numFmtId="0" fontId="36" fillId="0" borderId="0" xfId="0" applyFont="1" applyFill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right" vertical="center"/>
    </xf>
    <xf numFmtId="49" fontId="36" fillId="0" borderId="0" xfId="0" applyNumberFormat="1" applyFont="1" applyFill="1" applyAlignment="1" applyProtection="1">
      <alignment horizontal="center"/>
    </xf>
    <xf numFmtId="49" fontId="36" fillId="0" borderId="0" xfId="0" applyNumberFormat="1" applyFont="1" applyFill="1" applyBorder="1" applyAlignment="1" applyProtection="1">
      <alignment horizontal="center" vertical="center"/>
    </xf>
    <xf numFmtId="10" fontId="61" fillId="0" borderId="0" xfId="0" applyNumberFormat="1" applyFont="1" applyFill="1" applyBorder="1" applyAlignment="1" applyProtection="1">
      <alignment horizontal="center" vertical="center"/>
    </xf>
    <xf numFmtId="0" fontId="79" fillId="0" borderId="0" xfId="0" applyFont="1" applyFill="1" applyProtection="1"/>
    <xf numFmtId="10" fontId="93" fillId="0" borderId="0" xfId="0" applyNumberFormat="1" applyFont="1" applyFill="1" applyBorder="1" applyAlignment="1" applyProtection="1">
      <alignment horizontal="center" vertical="center"/>
    </xf>
    <xf numFmtId="0" fontId="61" fillId="0" borderId="47" xfId="0" applyFont="1" applyFill="1" applyBorder="1" applyAlignment="1" applyProtection="1">
      <alignment vertical="center" wrapText="1"/>
      <protection locked="0"/>
    </xf>
    <xf numFmtId="0" fontId="61" fillId="0" borderId="50" xfId="0" applyFont="1" applyFill="1" applyBorder="1" applyAlignment="1" applyProtection="1">
      <alignment vertical="center" wrapText="1"/>
      <protection locked="0"/>
    </xf>
    <xf numFmtId="165" fontId="61" fillId="0" borderId="47" xfId="5" applyFont="1" applyFill="1" applyBorder="1" applyAlignment="1" applyProtection="1">
      <alignment horizontal="center" vertical="center"/>
      <protection locked="0"/>
    </xf>
    <xf numFmtId="165" fontId="61" fillId="0" borderId="50" xfId="5" applyFont="1" applyFill="1" applyBorder="1" applyAlignment="1" applyProtection="1">
      <alignment horizontal="center" vertical="center"/>
      <protection locked="0"/>
    </xf>
    <xf numFmtId="10" fontId="61" fillId="0" borderId="43" xfId="0" applyNumberFormat="1" applyFont="1" applyFill="1" applyBorder="1" applyAlignment="1" applyProtection="1">
      <alignment horizontal="center" vertical="center"/>
    </xf>
    <xf numFmtId="10" fontId="61" fillId="0" borderId="41" xfId="0" applyNumberFormat="1" applyFont="1" applyFill="1" applyBorder="1" applyAlignment="1" applyProtection="1">
      <alignment horizontal="center" vertical="center" wrapText="1"/>
    </xf>
    <xf numFmtId="10" fontId="61" fillId="0" borderId="41" xfId="0" applyNumberFormat="1" applyFont="1" applyFill="1" applyBorder="1" applyAlignment="1" applyProtection="1">
      <alignment horizontal="center" vertical="center"/>
    </xf>
    <xf numFmtId="10" fontId="62" fillId="0" borderId="41" xfId="0" applyNumberFormat="1" applyFont="1" applyFill="1" applyBorder="1" applyAlignment="1" applyProtection="1">
      <alignment horizontal="center" vertical="center" wrapText="1"/>
    </xf>
    <xf numFmtId="0" fontId="79" fillId="0" borderId="41" xfId="0" applyFont="1" applyFill="1" applyBorder="1" applyProtection="1"/>
    <xf numFmtId="0" fontId="61" fillId="0" borderId="41" xfId="0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165" fontId="96" fillId="0" borderId="52" xfId="5" applyFont="1" applyFill="1" applyBorder="1" applyAlignment="1" applyProtection="1">
      <alignment horizontal="center" vertical="center"/>
    </xf>
    <xf numFmtId="167" fontId="96" fillId="0" borderId="52" xfId="5" applyNumberFormat="1" applyFont="1" applyFill="1" applyBorder="1" applyAlignment="1" applyProtection="1">
      <alignment vertical="center"/>
    </xf>
    <xf numFmtId="165" fontId="93" fillId="0" borderId="53" xfId="5" quotePrefix="1" applyFont="1" applyFill="1" applyBorder="1" applyAlignment="1" applyProtection="1">
      <alignment horizontal="center" vertical="center"/>
    </xf>
    <xf numFmtId="165" fontId="93" fillId="0" borderId="1" xfId="5" quotePrefix="1" applyFont="1" applyFill="1" applyBorder="1" applyAlignment="1" applyProtection="1">
      <alignment horizontal="center" vertical="center"/>
    </xf>
    <xf numFmtId="165" fontId="93" fillId="0" borderId="7" xfId="5" quotePrefix="1" applyFont="1" applyFill="1" applyBorder="1" applyAlignment="1" applyProtection="1">
      <alignment horizontal="center" vertical="center"/>
    </xf>
    <xf numFmtId="181" fontId="93" fillId="0" borderId="7" xfId="5" applyNumberFormat="1" applyFont="1" applyFill="1" applyBorder="1" applyAlignment="1" applyProtection="1">
      <alignment horizontal="center" vertical="center"/>
    </xf>
    <xf numFmtId="165" fontId="96" fillId="0" borderId="54" xfId="5" applyFont="1" applyFill="1" applyBorder="1" applyAlignment="1" applyProtection="1">
      <alignment horizontal="center" vertical="center"/>
    </xf>
    <xf numFmtId="1" fontId="96" fillId="0" borderId="54" xfId="0" applyNumberFormat="1" applyFont="1" applyFill="1" applyBorder="1" applyAlignment="1" applyProtection="1">
      <alignment horizontal="center" vertical="center"/>
    </xf>
    <xf numFmtId="165" fontId="96" fillId="0" borderId="52" xfId="5" applyNumberFormat="1" applyFont="1" applyFill="1" applyBorder="1" applyAlignment="1" applyProtection="1">
      <alignment horizontal="center" vertical="center"/>
    </xf>
    <xf numFmtId="167" fontId="93" fillId="0" borderId="7" xfId="5" applyNumberFormat="1" applyFont="1" applyFill="1" applyBorder="1" applyAlignment="1" applyProtection="1">
      <alignment vertical="center" wrapText="1"/>
    </xf>
    <xf numFmtId="165" fontId="93" fillId="0" borderId="7" xfId="5" applyFont="1" applyFill="1" applyBorder="1" applyAlignment="1" applyProtection="1">
      <alignment horizontal="right" vertical="center"/>
      <protection locked="0"/>
    </xf>
    <xf numFmtId="165" fontId="93" fillId="0" borderId="0" xfId="0" applyNumberFormat="1" applyFont="1" applyFill="1" applyBorder="1" applyAlignment="1" applyProtection="1">
      <alignment vertical="center"/>
    </xf>
    <xf numFmtId="165" fontId="93" fillId="0" borderId="0" xfId="5" applyFont="1" applyFill="1" applyBorder="1" applyAlignment="1" applyProtection="1">
      <alignment horizontal="center" vertical="center"/>
    </xf>
    <xf numFmtId="0" fontId="96" fillId="0" borderId="0" xfId="0" applyFont="1" applyFill="1" applyBorder="1" applyAlignment="1" applyProtection="1">
      <alignment vertical="center"/>
    </xf>
    <xf numFmtId="165" fontId="96" fillId="0" borderId="0" xfId="5" applyFont="1" applyFill="1" applyBorder="1" applyAlignment="1" applyProtection="1">
      <alignment vertical="center"/>
    </xf>
    <xf numFmtId="0" fontId="92" fillId="3" borderId="14" xfId="0" applyFont="1" applyFill="1" applyBorder="1" applyAlignment="1" applyProtection="1">
      <alignment horizontal="left" vertical="center" wrapText="1"/>
    </xf>
    <xf numFmtId="0" fontId="92" fillId="2" borderId="0" xfId="0" applyFont="1" applyFill="1" applyBorder="1" applyAlignment="1" applyProtection="1">
      <alignment horizontal="left" vertical="center"/>
    </xf>
    <xf numFmtId="165" fontId="92" fillId="2" borderId="14" xfId="5" applyFont="1" applyFill="1" applyBorder="1" applyAlignment="1" applyProtection="1">
      <alignment vertical="center"/>
    </xf>
    <xf numFmtId="1" fontId="92" fillId="2" borderId="14" xfId="0" applyNumberFormat="1" applyFont="1" applyFill="1" applyBorder="1" applyAlignment="1" applyProtection="1">
      <alignment horizontal="center" vertical="center"/>
    </xf>
    <xf numFmtId="0" fontId="92" fillId="3" borderId="18" xfId="0" applyFont="1" applyFill="1" applyBorder="1" applyAlignment="1" applyProtection="1">
      <alignment horizontal="left" vertical="center" wrapText="1"/>
    </xf>
    <xf numFmtId="165" fontId="92" fillId="2" borderId="18" xfId="5" applyFont="1" applyFill="1" applyBorder="1" applyAlignment="1" applyProtection="1">
      <alignment vertical="center"/>
    </xf>
    <xf numFmtId="1" fontId="92" fillId="2" borderId="18" xfId="0" applyNumberFormat="1" applyFont="1" applyFill="1" applyBorder="1" applyAlignment="1" applyProtection="1">
      <alignment horizontal="center" vertical="center"/>
    </xf>
    <xf numFmtId="167" fontId="92" fillId="2" borderId="52" xfId="5" applyNumberFormat="1" applyFont="1" applyFill="1" applyBorder="1" applyAlignment="1" applyProtection="1">
      <alignment vertical="center"/>
    </xf>
    <xf numFmtId="0" fontId="97" fillId="2" borderId="0" xfId="0" applyFont="1" applyFill="1" applyAlignment="1" applyProtection="1">
      <alignment vertical="center"/>
    </xf>
    <xf numFmtId="165" fontId="92" fillId="2" borderId="0" xfId="5" applyFont="1" applyFill="1" applyBorder="1" applyAlignment="1" applyProtection="1">
      <alignment vertical="center"/>
    </xf>
    <xf numFmtId="0" fontId="97" fillId="2" borderId="0" xfId="0" applyFont="1" applyFill="1" applyBorder="1" applyAlignment="1" applyProtection="1">
      <alignment vertical="center"/>
    </xf>
    <xf numFmtId="165" fontId="92" fillId="2" borderId="13" xfId="5" applyNumberFormat="1" applyFont="1" applyFill="1" applyBorder="1" applyAlignment="1" applyProtection="1">
      <alignment vertical="center"/>
    </xf>
    <xf numFmtId="1" fontId="92" fillId="2" borderId="1" xfId="0" applyNumberFormat="1" applyFont="1" applyFill="1" applyBorder="1" applyAlignment="1" applyProtection="1">
      <alignment horizontal="center" vertical="center"/>
    </xf>
    <xf numFmtId="1" fontId="92" fillId="2" borderId="17" xfId="0" applyNumberFormat="1" applyFont="1" applyFill="1" applyBorder="1" applyAlignment="1" applyProtection="1">
      <alignment horizontal="center" vertical="center"/>
    </xf>
    <xf numFmtId="165" fontId="92" fillId="2" borderId="13" xfId="5" applyFont="1" applyFill="1" applyBorder="1" applyAlignment="1" applyProtection="1">
      <alignment vertical="center"/>
    </xf>
    <xf numFmtId="165" fontId="96" fillId="2" borderId="14" xfId="5" applyFont="1" applyFill="1" applyBorder="1" applyAlignment="1" applyProtection="1">
      <alignment vertical="center"/>
    </xf>
    <xf numFmtId="165" fontId="96" fillId="2" borderId="0" xfId="5" applyFont="1" applyFill="1" applyBorder="1" applyAlignment="1" applyProtection="1">
      <alignment vertical="center"/>
    </xf>
    <xf numFmtId="165" fontId="96" fillId="2" borderId="13" xfId="5" applyFont="1" applyFill="1" applyBorder="1" applyAlignment="1" applyProtection="1">
      <alignment vertical="center"/>
    </xf>
    <xf numFmtId="0" fontId="96" fillId="2" borderId="13" xfId="0" applyFont="1" applyFill="1" applyBorder="1" applyAlignment="1" applyProtection="1">
      <alignment horizontal="center" vertical="center"/>
    </xf>
    <xf numFmtId="0" fontId="99" fillId="2" borderId="0" xfId="0" applyFont="1" applyFill="1" applyBorder="1" applyAlignment="1" applyProtection="1">
      <alignment horizontal="center" vertical="center"/>
    </xf>
    <xf numFmtId="10" fontId="92" fillId="3" borderId="14" xfId="0" applyNumberFormat="1" applyFont="1" applyFill="1" applyBorder="1" applyAlignment="1" applyProtection="1">
      <alignment horizontal="center" vertical="center"/>
    </xf>
    <xf numFmtId="0" fontId="92" fillId="3" borderId="55" xfId="0" applyFont="1" applyFill="1" applyBorder="1" applyAlignment="1" applyProtection="1">
      <alignment horizontal="center"/>
    </xf>
    <xf numFmtId="10" fontId="97" fillId="3" borderId="14" xfId="0" applyNumberFormat="1" applyFont="1" applyFill="1" applyBorder="1" applyAlignment="1" applyProtection="1">
      <alignment horizontal="center" vertical="top"/>
    </xf>
    <xf numFmtId="10" fontId="97" fillId="3" borderId="55" xfId="0" applyNumberFormat="1" applyFont="1" applyFill="1" applyBorder="1" applyAlignment="1" applyProtection="1">
      <alignment horizontal="center" vertical="top"/>
    </xf>
    <xf numFmtId="10" fontId="92" fillId="3" borderId="13" xfId="0" applyNumberFormat="1" applyFont="1" applyFill="1" applyBorder="1" applyAlignment="1" applyProtection="1">
      <alignment horizontal="center" vertical="top"/>
    </xf>
    <xf numFmtId="10" fontId="97" fillId="3" borderId="0" xfId="0" applyNumberFormat="1" applyFont="1" applyFill="1" applyBorder="1" applyAlignment="1" applyProtection="1">
      <alignment horizontal="center" vertical="top"/>
    </xf>
    <xf numFmtId="0" fontId="100" fillId="3" borderId="0" xfId="0" applyFont="1" applyFill="1" applyBorder="1" applyAlignment="1" applyProtection="1">
      <alignment horizontal="center" vertical="top"/>
    </xf>
    <xf numFmtId="10" fontId="101" fillId="3" borderId="0" xfId="0" applyNumberFormat="1" applyFont="1" applyFill="1" applyBorder="1" applyAlignment="1" applyProtection="1">
      <alignment horizontal="center" vertical="center" wrapText="1"/>
    </xf>
    <xf numFmtId="10" fontId="92" fillId="3" borderId="13" xfId="0" applyNumberFormat="1" applyFont="1" applyFill="1" applyBorder="1" applyAlignment="1" applyProtection="1">
      <alignment horizontal="center" vertical="center" wrapText="1"/>
    </xf>
    <xf numFmtId="0" fontId="92" fillId="3" borderId="0" xfId="0" applyFont="1" applyFill="1" applyBorder="1" applyAlignment="1" applyProtection="1">
      <alignment horizontal="center" vertical="center" wrapText="1"/>
    </xf>
    <xf numFmtId="10" fontId="93" fillId="2" borderId="0" xfId="0" applyNumberFormat="1" applyFont="1" applyFill="1" applyAlignment="1" applyProtection="1">
      <alignment vertical="center"/>
    </xf>
    <xf numFmtId="0" fontId="97" fillId="3" borderId="43" xfId="0" applyFont="1" applyFill="1" applyBorder="1" applyAlignment="1" applyProtection="1">
      <alignment vertical="center" wrapText="1"/>
    </xf>
    <xf numFmtId="10" fontId="93" fillId="2" borderId="42" xfId="0" applyNumberFormat="1" applyFont="1" applyFill="1" applyBorder="1" applyAlignment="1" applyProtection="1">
      <alignment vertical="center"/>
    </xf>
    <xf numFmtId="0" fontId="97" fillId="3" borderId="0" xfId="0" applyFont="1" applyFill="1" applyBorder="1" applyAlignment="1" applyProtection="1">
      <alignment vertical="center" wrapText="1"/>
    </xf>
    <xf numFmtId="0" fontId="92" fillId="3" borderId="0" xfId="0" applyFont="1" applyFill="1" applyBorder="1" applyAlignment="1" applyProtection="1">
      <alignment vertical="center" wrapText="1"/>
    </xf>
    <xf numFmtId="0" fontId="97" fillId="3" borderId="56" xfId="0" applyFont="1" applyFill="1" applyBorder="1" applyAlignment="1" applyProtection="1">
      <alignment vertical="center" wrapText="1"/>
    </xf>
    <xf numFmtId="10" fontId="93" fillId="2" borderId="57" xfId="0" applyNumberFormat="1" applyFont="1" applyFill="1" applyBorder="1" applyAlignment="1" applyProtection="1">
      <alignment vertical="center"/>
    </xf>
    <xf numFmtId="0" fontId="102" fillId="2" borderId="58" xfId="0" applyFont="1" applyFill="1" applyBorder="1" applyAlignment="1" applyProtection="1">
      <alignment vertical="center"/>
    </xf>
    <xf numFmtId="0" fontId="96" fillId="3" borderId="13" xfId="0" applyFont="1" applyFill="1" applyBorder="1" applyAlignment="1" applyProtection="1">
      <alignment horizontal="center" vertical="center"/>
    </xf>
    <xf numFmtId="0" fontId="102" fillId="3" borderId="58" xfId="0" applyFont="1" applyFill="1" applyBorder="1" applyAlignment="1" applyProtection="1">
      <alignment horizontal="left" vertical="center"/>
    </xf>
    <xf numFmtId="0" fontId="20" fillId="0" borderId="43" xfId="0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horizontal="center" vertical="center"/>
    </xf>
    <xf numFmtId="0" fontId="20" fillId="0" borderId="41" xfId="0" applyFont="1" applyFill="1" applyBorder="1" applyAlignment="1" applyProtection="1">
      <alignment vertical="center"/>
    </xf>
    <xf numFmtId="0" fontId="20" fillId="0" borderId="42" xfId="0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horizontal="center" vertical="center" wrapText="1"/>
    </xf>
    <xf numFmtId="1" fontId="61" fillId="0" borderId="14" xfId="0" applyNumberFormat="1" applyFont="1" applyFill="1" applyBorder="1" applyAlignment="1" applyProtection="1">
      <alignment horizontal="center" vertical="center"/>
      <protection locked="0"/>
    </xf>
    <xf numFmtId="1" fontId="61" fillId="0" borderId="13" xfId="0" applyNumberFormat="1" applyFont="1" applyFill="1" applyBorder="1" applyAlignment="1" applyProtection="1">
      <alignment horizontal="center" vertical="center"/>
      <protection locked="0"/>
    </xf>
    <xf numFmtId="0" fontId="61" fillId="0" borderId="14" xfId="0" applyFont="1" applyFill="1" applyBorder="1" applyAlignment="1" applyProtection="1">
      <alignment horizontal="center" vertical="center"/>
    </xf>
    <xf numFmtId="3" fontId="61" fillId="0" borderId="14" xfId="0" applyNumberFormat="1" applyFont="1" applyFill="1" applyBorder="1" applyAlignment="1" applyProtection="1">
      <alignment horizontal="center" vertical="center"/>
    </xf>
    <xf numFmtId="49" fontId="61" fillId="0" borderId="14" xfId="0" applyNumberFormat="1" applyFont="1" applyFill="1" applyBorder="1" applyAlignment="1" applyProtection="1">
      <alignment horizontal="center" vertical="center"/>
    </xf>
    <xf numFmtId="49" fontId="61" fillId="0" borderId="13" xfId="0" applyNumberFormat="1" applyFont="1" applyFill="1" applyBorder="1" applyAlignment="1" applyProtection="1">
      <alignment horizontal="center" vertical="center"/>
    </xf>
    <xf numFmtId="3" fontId="61" fillId="0" borderId="14" xfId="0" applyNumberFormat="1" applyFont="1" applyFill="1" applyBorder="1" applyAlignment="1" applyProtection="1">
      <alignment horizontal="center" vertical="center"/>
      <protection locked="0"/>
    </xf>
    <xf numFmtId="168" fontId="61" fillId="0" borderId="14" xfId="0" applyNumberFormat="1" applyFont="1" applyFill="1" applyBorder="1" applyAlignment="1" applyProtection="1">
      <alignment horizontal="center" vertical="center"/>
      <protection locked="0"/>
    </xf>
    <xf numFmtId="3" fontId="61" fillId="0" borderId="13" xfId="0" applyNumberFormat="1" applyFont="1" applyFill="1" applyBorder="1" applyAlignment="1" applyProtection="1">
      <alignment horizontal="center" vertical="center"/>
      <protection locked="0"/>
    </xf>
    <xf numFmtId="165" fontId="61" fillId="0" borderId="14" xfId="5" applyFont="1" applyFill="1" applyBorder="1" applyAlignment="1" applyProtection="1">
      <alignment horizontal="center" vertical="center"/>
      <protection locked="0"/>
    </xf>
    <xf numFmtId="165" fontId="50" fillId="0" borderId="13" xfId="5" applyFont="1" applyFill="1" applyBorder="1" applyAlignment="1" applyProtection="1">
      <alignment horizontal="center" vertical="center"/>
      <protection locked="0"/>
    </xf>
    <xf numFmtId="4" fontId="50" fillId="0" borderId="13" xfId="0" applyNumberFormat="1" applyFont="1" applyFill="1" applyBorder="1" applyAlignment="1" applyProtection="1">
      <alignment horizontal="center" vertical="center"/>
      <protection locked="0"/>
    </xf>
    <xf numFmtId="0" fontId="50" fillId="0" borderId="41" xfId="0" applyFont="1" applyFill="1" applyBorder="1" applyAlignment="1" applyProtection="1">
      <alignment horizontal="center" vertical="center"/>
    </xf>
    <xf numFmtId="0" fontId="75" fillId="0" borderId="43" xfId="0" applyFont="1" applyFill="1" applyBorder="1" applyAlignment="1" applyProtection="1">
      <alignment vertical="center"/>
    </xf>
    <xf numFmtId="0" fontId="61" fillId="0" borderId="43" xfId="0" applyFont="1" applyFill="1" applyBorder="1" applyAlignment="1" applyProtection="1">
      <alignment horizontal="left" vertical="center"/>
    </xf>
    <xf numFmtId="0" fontId="61" fillId="0" borderId="41" xfId="0" applyFont="1" applyFill="1" applyBorder="1" applyAlignment="1" applyProtection="1">
      <alignment horizontal="center" vertical="center"/>
    </xf>
    <xf numFmtId="0" fontId="62" fillId="0" borderId="41" xfId="0" applyFont="1" applyFill="1" applyBorder="1" applyAlignment="1" applyProtection="1">
      <alignment horizontal="center" vertical="center"/>
    </xf>
    <xf numFmtId="0" fontId="50" fillId="0" borderId="41" xfId="0" applyFont="1" applyFill="1" applyBorder="1" applyAlignment="1" applyProtection="1">
      <alignment horizontal="center" vertical="center" wrapText="1"/>
    </xf>
    <xf numFmtId="0" fontId="50" fillId="0" borderId="42" xfId="0" applyFont="1" applyFill="1" applyBorder="1" applyAlignment="1" applyProtection="1">
      <alignment horizontal="center" vertical="center"/>
    </xf>
    <xf numFmtId="172" fontId="93" fillId="0" borderId="14" xfId="5" applyNumberFormat="1" applyFont="1" applyFill="1" applyBorder="1" applyAlignment="1" applyProtection="1">
      <alignment vertical="center"/>
    </xf>
    <xf numFmtId="172" fontId="93" fillId="0" borderId="13" xfId="5" applyNumberFormat="1" applyFont="1" applyFill="1" applyBorder="1" applyAlignment="1" applyProtection="1">
      <alignment vertical="center"/>
    </xf>
    <xf numFmtId="165" fontId="93" fillId="0" borderId="14" xfId="5" applyNumberFormat="1" applyFont="1" applyFill="1" applyBorder="1" applyAlignment="1" applyProtection="1">
      <alignment vertical="center"/>
    </xf>
    <xf numFmtId="165" fontId="93" fillId="0" borderId="13" xfId="5" applyNumberFormat="1" applyFont="1" applyFill="1" applyBorder="1" applyAlignment="1" applyProtection="1">
      <alignment vertical="center"/>
    </xf>
    <xf numFmtId="172" fontId="93" fillId="0" borderId="13" xfId="5" applyNumberFormat="1" applyFont="1" applyFill="1" applyBorder="1" applyAlignment="1" applyProtection="1">
      <alignment horizontal="center" vertical="center"/>
    </xf>
    <xf numFmtId="165" fontId="93" fillId="0" borderId="13" xfId="5" applyFont="1" applyFill="1" applyBorder="1" applyAlignment="1" applyProtection="1">
      <alignment horizontal="center" vertical="center"/>
    </xf>
    <xf numFmtId="0" fontId="92" fillId="0" borderId="0" xfId="0" applyFont="1" applyFill="1" applyBorder="1" applyAlignment="1" applyProtection="1">
      <alignment horizontal="center" vertical="center"/>
    </xf>
    <xf numFmtId="165" fontId="92" fillId="0" borderId="13" xfId="5" applyNumberFormat="1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horizontal="center" vertical="center"/>
    </xf>
    <xf numFmtId="0" fontId="50" fillId="0" borderId="0" xfId="0" applyFont="1" applyFill="1" applyBorder="1" applyAlignment="1" applyProtection="1">
      <alignment horizontal="center" vertical="center"/>
    </xf>
    <xf numFmtId="0" fontId="50" fillId="0" borderId="43" xfId="0" applyFont="1" applyFill="1" applyBorder="1" applyAlignment="1" applyProtection="1">
      <alignment horizontal="center" vertical="center" wrapText="1"/>
    </xf>
    <xf numFmtId="165" fontId="63" fillId="0" borderId="42" xfId="5" applyFont="1" applyFill="1" applyBorder="1" applyAlignment="1" applyProtection="1">
      <alignment horizontal="center" vertical="center" wrapText="1"/>
    </xf>
    <xf numFmtId="165" fontId="56" fillId="0" borderId="13" xfId="0" applyNumberFormat="1" applyFont="1" applyFill="1" applyBorder="1" applyAlignment="1" applyProtection="1">
      <alignment vertical="center"/>
    </xf>
    <xf numFmtId="0" fontId="53" fillId="0" borderId="0" xfId="0" applyFont="1" applyFill="1"/>
    <xf numFmtId="1" fontId="56" fillId="0" borderId="0" xfId="0" applyNumberFormat="1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vertical="center"/>
    </xf>
    <xf numFmtId="0" fontId="53" fillId="0" borderId="0" xfId="0" applyFont="1" applyFill="1" applyAlignment="1" applyProtection="1">
      <alignment vertical="center"/>
    </xf>
    <xf numFmtId="49" fontId="57" fillId="0" borderId="0" xfId="0" applyNumberFormat="1" applyFont="1" applyFill="1" applyBorder="1" applyAlignment="1" applyProtection="1">
      <alignment horizontal="left" vertical="center"/>
    </xf>
    <xf numFmtId="0" fontId="54" fillId="0" borderId="0" xfId="0" applyFont="1" applyFill="1" applyAlignment="1" applyProtection="1">
      <alignment vertical="center"/>
    </xf>
    <xf numFmtId="1" fontId="57" fillId="0" borderId="0" xfId="0" applyNumberFormat="1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center" vertical="center" wrapText="1"/>
    </xf>
    <xf numFmtId="165" fontId="63" fillId="0" borderId="0" xfId="5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 applyProtection="1"/>
    <xf numFmtId="165" fontId="3" fillId="0" borderId="0" xfId="0" applyNumberFormat="1" applyFont="1" applyFill="1" applyBorder="1" applyAlignment="1" applyProtection="1"/>
    <xf numFmtId="0" fontId="20" fillId="0" borderId="0" xfId="0" applyFont="1" applyFill="1" applyBorder="1" applyAlignment="1" applyProtection="1"/>
    <xf numFmtId="165" fontId="8" fillId="0" borderId="0" xfId="5" applyFont="1" applyFill="1" applyBorder="1" applyAlignment="1" applyProtection="1">
      <alignment horizontal="center" vertical="center"/>
    </xf>
    <xf numFmtId="0" fontId="20" fillId="0" borderId="0" xfId="0" applyFont="1" applyFill="1" applyAlignment="1"/>
    <xf numFmtId="0" fontId="3" fillId="0" borderId="0" xfId="0" applyFont="1" applyFill="1" applyBorder="1" applyAlignment="1" applyProtection="1">
      <alignment vertical="center"/>
      <protection hidden="1"/>
    </xf>
    <xf numFmtId="165" fontId="3" fillId="0" borderId="0" xfId="5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protection hidden="1"/>
    </xf>
    <xf numFmtId="0" fontId="20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 vertical="center"/>
      <protection hidden="1"/>
    </xf>
    <xf numFmtId="165" fontId="8" fillId="0" borderId="0" xfId="5" applyFont="1" applyFill="1" applyBorder="1" applyAlignment="1" applyProtection="1">
      <alignment horizontal="center" vertical="center"/>
      <protection hidden="1"/>
    </xf>
    <xf numFmtId="167" fontId="56" fillId="0" borderId="0" xfId="5" applyNumberFormat="1" applyFont="1" applyFill="1" applyBorder="1" applyAlignment="1" applyProtection="1">
      <alignment horizontal="left" vertical="center"/>
    </xf>
    <xf numFmtId="0" fontId="56" fillId="0" borderId="0" xfId="0" applyFont="1" applyFill="1" applyAlignment="1" applyProtection="1">
      <alignment horizontal="right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Protection="1"/>
    <xf numFmtId="0" fontId="0" fillId="0" borderId="0" xfId="0" applyFill="1" applyBorder="1"/>
    <xf numFmtId="0" fontId="20" fillId="0" borderId="0" xfId="0" applyFont="1" applyFill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49" fontId="33" fillId="0" borderId="0" xfId="0" applyNumberFormat="1" applyFont="1" applyFill="1" applyAlignment="1" applyProtection="1">
      <alignment horizontal="center" vertical="center"/>
    </xf>
    <xf numFmtId="49" fontId="3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49" fontId="32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49" fontId="37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174" fontId="20" fillId="0" borderId="0" xfId="0" applyNumberFormat="1" applyFont="1" applyFill="1" applyBorder="1" applyAlignment="1" applyProtection="1">
      <alignment vertical="center" wrapText="1"/>
    </xf>
    <xf numFmtId="164" fontId="20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wrapText="1"/>
    </xf>
    <xf numFmtId="0" fontId="50" fillId="0" borderId="13" xfId="0" applyFont="1" applyFill="1" applyBorder="1" applyAlignment="1" applyProtection="1">
      <alignment horizontal="center" vertical="center" wrapText="1"/>
    </xf>
    <xf numFmtId="0" fontId="50" fillId="0" borderId="14" xfId="0" applyFont="1" applyFill="1" applyBorder="1" applyAlignment="1" applyProtection="1">
      <alignment horizontal="left" vertical="center" wrapText="1"/>
      <protection locked="0"/>
    </xf>
    <xf numFmtId="0" fontId="50" fillId="0" borderId="13" xfId="0" applyFont="1" applyFill="1" applyBorder="1" applyAlignment="1" applyProtection="1">
      <alignment horizontal="left" vertical="center" wrapText="1"/>
      <protection locked="0"/>
    </xf>
    <xf numFmtId="1" fontId="50" fillId="0" borderId="14" xfId="0" applyNumberFormat="1" applyFont="1" applyFill="1" applyBorder="1" applyAlignment="1" applyProtection="1">
      <alignment horizontal="center" vertical="center"/>
      <protection locked="0"/>
    </xf>
    <xf numFmtId="1" fontId="50" fillId="0" borderId="13" xfId="0" applyNumberFormat="1" applyFont="1" applyFill="1" applyBorder="1" applyAlignment="1" applyProtection="1">
      <alignment horizontal="center" vertical="center"/>
      <protection locked="0"/>
    </xf>
    <xf numFmtId="165" fontId="50" fillId="0" borderId="14" xfId="5" applyFont="1" applyFill="1" applyBorder="1" applyAlignment="1" applyProtection="1">
      <alignment horizontal="center" vertical="center"/>
      <protection locked="0"/>
    </xf>
    <xf numFmtId="165" fontId="96" fillId="0" borderId="14" xfId="5" applyFont="1" applyFill="1" applyBorder="1" applyAlignment="1" applyProtection="1">
      <alignment vertical="center"/>
    </xf>
    <xf numFmtId="165" fontId="96" fillId="0" borderId="13" xfId="5" applyFont="1" applyFill="1" applyBorder="1" applyAlignment="1" applyProtection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1" fontId="103" fillId="2" borderId="59" xfId="0" applyNumberFormat="1" applyFont="1" applyFill="1" applyBorder="1" applyAlignment="1" applyProtection="1">
      <alignment horizontal="center" vertical="center"/>
      <protection locked="0"/>
    </xf>
    <xf numFmtId="1" fontId="103" fillId="2" borderId="60" xfId="0" applyNumberFormat="1" applyFont="1" applyFill="1" applyBorder="1" applyAlignment="1" applyProtection="1">
      <alignment horizontal="center" vertical="center"/>
      <protection locked="0"/>
    </xf>
    <xf numFmtId="1" fontId="103" fillId="2" borderId="61" xfId="0" applyNumberFormat="1" applyFont="1" applyFill="1" applyBorder="1" applyAlignment="1" applyProtection="1">
      <alignment horizontal="center" vertical="center"/>
      <protection locked="0"/>
    </xf>
    <xf numFmtId="1" fontId="103" fillId="2" borderId="62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center" wrapText="1"/>
    </xf>
    <xf numFmtId="165" fontId="7" fillId="2" borderId="0" xfId="5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center" vertical="center"/>
    </xf>
    <xf numFmtId="0" fontId="10" fillId="2" borderId="63" xfId="0" applyFont="1" applyFill="1" applyBorder="1" applyAlignment="1" applyProtection="1">
      <alignment horizontal="center" vertical="center"/>
    </xf>
    <xf numFmtId="165" fontId="10" fillId="2" borderId="63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vertical="center"/>
    </xf>
    <xf numFmtId="165" fontId="7" fillId="2" borderId="0" xfId="0" applyNumberFormat="1" applyFont="1" applyFill="1" applyAlignment="1">
      <alignment vertical="center"/>
    </xf>
    <xf numFmtId="2" fontId="7" fillId="2" borderId="0" xfId="0" applyNumberFormat="1" applyFont="1" applyFill="1" applyAlignment="1">
      <alignment vertical="center"/>
    </xf>
    <xf numFmtId="0" fontId="62" fillId="2" borderId="64" xfId="0" applyFont="1" applyFill="1" applyBorder="1" applyAlignment="1" applyProtection="1">
      <alignment horizontal="center" vertical="center"/>
      <protection locked="0"/>
    </xf>
    <xf numFmtId="0" fontId="62" fillId="2" borderId="65" xfId="0" applyFont="1" applyFill="1" applyBorder="1" applyAlignment="1" applyProtection="1">
      <alignment horizontal="center" vertical="center"/>
      <protection locked="0"/>
    </xf>
    <xf numFmtId="0" fontId="62" fillId="2" borderId="66" xfId="0" applyFont="1" applyFill="1" applyBorder="1" applyAlignment="1" applyProtection="1">
      <alignment horizontal="center" vertical="center"/>
      <protection locked="0"/>
    </xf>
    <xf numFmtId="0" fontId="62" fillId="2" borderId="67" xfId="0" applyFont="1" applyFill="1" applyBorder="1" applyAlignment="1" applyProtection="1">
      <alignment horizontal="center" vertical="center"/>
      <protection locked="0"/>
    </xf>
    <xf numFmtId="165" fontId="92" fillId="2" borderId="64" xfId="0" applyNumberFormat="1" applyFont="1" applyFill="1" applyBorder="1" applyAlignment="1" applyProtection="1">
      <alignment horizontal="center" vertical="center"/>
    </xf>
    <xf numFmtId="165" fontId="92" fillId="2" borderId="65" xfId="0" applyNumberFormat="1" applyFont="1" applyFill="1" applyBorder="1" applyAlignment="1" applyProtection="1">
      <alignment horizontal="center" vertical="center"/>
    </xf>
    <xf numFmtId="165" fontId="92" fillId="2" borderId="67" xfId="0" applyNumberFormat="1" applyFont="1" applyFill="1" applyBorder="1" applyAlignment="1" applyProtection="1">
      <alignment horizontal="center" vertical="center"/>
    </xf>
    <xf numFmtId="0" fontId="92" fillId="2" borderId="0" xfId="0" applyFont="1" applyFill="1" applyBorder="1" applyAlignment="1">
      <alignment horizontal="right" vertical="center" wrapText="1"/>
    </xf>
    <xf numFmtId="167" fontId="97" fillId="2" borderId="64" xfId="5" applyNumberFormat="1" applyFont="1" applyFill="1" applyBorder="1" applyAlignment="1" applyProtection="1">
      <alignment horizontal="center" vertical="center"/>
    </xf>
    <xf numFmtId="167" fontId="97" fillId="2" borderId="65" xfId="5" applyNumberFormat="1" applyFont="1" applyFill="1" applyBorder="1" applyAlignment="1" applyProtection="1">
      <alignment horizontal="center" vertical="center"/>
    </xf>
    <xf numFmtId="167" fontId="97" fillId="2" borderId="67" xfId="5" applyNumberFormat="1" applyFont="1" applyFill="1" applyBorder="1" applyAlignment="1" applyProtection="1">
      <alignment horizontal="center" vertical="center"/>
    </xf>
    <xf numFmtId="167" fontId="92" fillId="2" borderId="64" xfId="0" applyNumberFormat="1" applyFont="1" applyFill="1" applyBorder="1" applyAlignment="1" applyProtection="1">
      <alignment horizontal="center" vertical="center"/>
    </xf>
    <xf numFmtId="167" fontId="92" fillId="2" borderId="65" xfId="0" applyNumberFormat="1" applyFont="1" applyFill="1" applyBorder="1" applyAlignment="1" applyProtection="1">
      <alignment horizontal="center" vertical="center"/>
    </xf>
    <xf numFmtId="167" fontId="92" fillId="2" borderId="66" xfId="0" applyNumberFormat="1" applyFont="1" applyFill="1" applyBorder="1" applyAlignment="1" applyProtection="1">
      <alignment horizontal="center" vertical="center"/>
    </xf>
    <xf numFmtId="167" fontId="92" fillId="2" borderId="67" xfId="0" applyNumberFormat="1" applyFont="1" applyFill="1" applyBorder="1" applyAlignment="1" applyProtection="1">
      <alignment horizontal="center" vertical="center"/>
    </xf>
    <xf numFmtId="0" fontId="62" fillId="2" borderId="0" xfId="0" applyFont="1" applyFill="1" applyBorder="1" applyAlignment="1" applyProtection="1">
      <alignment horizontal="center" vertical="center"/>
    </xf>
    <xf numFmtId="0" fontId="62" fillId="2" borderId="0" xfId="0" applyFont="1" applyFill="1" applyBorder="1" applyAlignment="1">
      <alignment horizontal="center" vertical="center"/>
    </xf>
    <xf numFmtId="0" fontId="78" fillId="2" borderId="0" xfId="0" applyFont="1" applyFill="1" applyBorder="1" applyAlignment="1">
      <alignment vertical="center"/>
    </xf>
    <xf numFmtId="0" fontId="47" fillId="2" borderId="0" xfId="0" applyFont="1" applyFill="1" applyBorder="1" applyAlignment="1">
      <alignment horizontal="centerContinuous" vertical="center"/>
    </xf>
    <xf numFmtId="168" fontId="62" fillId="2" borderId="0" xfId="0" applyNumberFormat="1" applyFont="1" applyFill="1" applyBorder="1" applyAlignment="1">
      <alignment horizontal="center" vertical="center"/>
    </xf>
    <xf numFmtId="0" fontId="78" fillId="2" borderId="0" xfId="0" applyFont="1" applyFill="1" applyBorder="1" applyAlignment="1">
      <alignment horizontal="center" vertical="center"/>
    </xf>
    <xf numFmtId="0" fontId="78" fillId="2" borderId="0" xfId="0" applyFont="1" applyFill="1" applyBorder="1" applyAlignment="1">
      <alignment vertical="center" wrapText="1"/>
    </xf>
    <xf numFmtId="0" fontId="62" fillId="2" borderId="0" xfId="0" applyFont="1" applyFill="1" applyBorder="1" applyAlignment="1">
      <alignment horizontal="center" vertical="center" wrapText="1"/>
    </xf>
    <xf numFmtId="0" fontId="78" fillId="2" borderId="0" xfId="0" applyFont="1" applyFill="1" applyAlignment="1">
      <alignment vertical="center"/>
    </xf>
    <xf numFmtId="0" fontId="62" fillId="2" borderId="68" xfId="0" applyFont="1" applyFill="1" applyBorder="1" applyAlignment="1">
      <alignment horizontal="center" vertical="center"/>
    </xf>
    <xf numFmtId="0" fontId="78" fillId="2" borderId="69" xfId="0" applyFont="1" applyFill="1" applyBorder="1" applyAlignment="1">
      <alignment horizontal="centerContinuous" vertical="center"/>
    </xf>
    <xf numFmtId="0" fontId="78" fillId="2" borderId="70" xfId="0" applyFont="1" applyFill="1" applyBorder="1" applyAlignment="1">
      <alignment horizontal="centerContinuous" vertical="center"/>
    </xf>
    <xf numFmtId="0" fontId="62" fillId="2" borderId="71" xfId="0" applyFont="1" applyFill="1" applyBorder="1" applyAlignment="1">
      <alignment horizontal="center" vertical="center"/>
    </xf>
    <xf numFmtId="0" fontId="62" fillId="2" borderId="62" xfId="0" applyFont="1" applyFill="1" applyBorder="1" applyAlignment="1" applyProtection="1">
      <alignment horizontal="center" vertical="center"/>
    </xf>
    <xf numFmtId="0" fontId="62" fillId="2" borderId="62" xfId="0" applyFont="1" applyFill="1" applyBorder="1" applyAlignment="1">
      <alignment horizontal="center" vertical="center"/>
    </xf>
    <xf numFmtId="0" fontId="62" fillId="2" borderId="72" xfId="0" applyFont="1" applyFill="1" applyBorder="1" applyAlignment="1" applyProtection="1">
      <alignment horizontal="center" vertical="center" wrapText="1"/>
      <protection locked="0"/>
    </xf>
    <xf numFmtId="0" fontId="68" fillId="2" borderId="70" xfId="0" applyFont="1" applyFill="1" applyBorder="1" applyAlignment="1">
      <alignment vertical="center"/>
    </xf>
    <xf numFmtId="0" fontId="68" fillId="2" borderId="73" xfId="0" applyFont="1" applyFill="1" applyBorder="1" applyAlignment="1">
      <alignment vertical="center"/>
    </xf>
    <xf numFmtId="1" fontId="68" fillId="2" borderId="62" xfId="0" applyNumberFormat="1" applyFont="1" applyFill="1" applyBorder="1" applyAlignment="1">
      <alignment vertical="center"/>
    </xf>
    <xf numFmtId="1" fontId="68" fillId="2" borderId="61" xfId="0" applyNumberFormat="1" applyFont="1" applyFill="1" applyBorder="1" applyAlignment="1">
      <alignment vertical="center"/>
    </xf>
    <xf numFmtId="0" fontId="50" fillId="2" borderId="0" xfId="0" applyFont="1" applyFill="1" applyAlignment="1" applyProtection="1">
      <alignment vertical="center"/>
    </xf>
    <xf numFmtId="0" fontId="52" fillId="2" borderId="0" xfId="0" applyFont="1" applyFill="1" applyBorder="1" applyAlignment="1" applyProtection="1">
      <alignment horizontal="right" vertical="center" wrapText="1"/>
    </xf>
    <xf numFmtId="0" fontId="52" fillId="2" borderId="0" xfId="0" applyFont="1" applyFill="1" applyBorder="1" applyAlignment="1" applyProtection="1">
      <alignment vertical="center" wrapText="1"/>
    </xf>
    <xf numFmtId="0" fontId="20" fillId="0" borderId="0" xfId="0" applyFont="1" applyFill="1" applyAlignment="1" applyProtection="1">
      <alignment horizontal="center"/>
    </xf>
    <xf numFmtId="165" fontId="96" fillId="0" borderId="14" xfId="5" applyFont="1" applyFill="1" applyBorder="1" applyAlignment="1" applyProtection="1">
      <alignment vertical="center"/>
      <protection locked="0"/>
    </xf>
    <xf numFmtId="165" fontId="62" fillId="2" borderId="64" xfId="5" applyFont="1" applyFill="1" applyBorder="1" applyAlignment="1" applyProtection="1">
      <alignment vertical="center"/>
      <protection locked="0"/>
    </xf>
    <xf numFmtId="165" fontId="62" fillId="2" borderId="64" xfId="5" applyFont="1" applyFill="1" applyBorder="1" applyAlignment="1" applyProtection="1">
      <alignment horizontal="center" vertical="center"/>
      <protection locked="0"/>
    </xf>
    <xf numFmtId="165" fontId="62" fillId="2" borderId="65" xfId="5" applyFont="1" applyFill="1" applyBorder="1" applyAlignment="1" applyProtection="1">
      <alignment vertical="center"/>
      <protection locked="0"/>
    </xf>
    <xf numFmtId="165" fontId="62" fillId="2" borderId="65" xfId="5" applyFont="1" applyFill="1" applyBorder="1" applyAlignment="1" applyProtection="1">
      <alignment horizontal="center" vertical="center"/>
      <protection locked="0"/>
    </xf>
    <xf numFmtId="165" fontId="62" fillId="2" borderId="66" xfId="5" applyFont="1" applyFill="1" applyBorder="1" applyAlignment="1" applyProtection="1">
      <alignment horizontal="center" vertical="center"/>
      <protection locked="0"/>
    </xf>
    <xf numFmtId="165" fontId="62" fillId="2" borderId="66" xfId="5" applyFont="1" applyFill="1" applyBorder="1" applyAlignment="1" applyProtection="1">
      <alignment vertical="center"/>
      <protection locked="0"/>
    </xf>
    <xf numFmtId="165" fontId="62" fillId="2" borderId="67" xfId="5" applyFont="1" applyFill="1" applyBorder="1" applyAlignment="1" applyProtection="1">
      <alignment horizontal="center" vertical="center"/>
      <protection locked="0"/>
    </xf>
    <xf numFmtId="165" fontId="62" fillId="2" borderId="67" xfId="5" applyFont="1" applyFill="1" applyBorder="1" applyAlignment="1" applyProtection="1">
      <alignment vertical="center"/>
      <protection locked="0"/>
    </xf>
    <xf numFmtId="0" fontId="78" fillId="2" borderId="22" xfId="0" applyFont="1" applyFill="1" applyBorder="1" applyAlignment="1" applyProtection="1">
      <alignment horizontal="left" vertical="center"/>
    </xf>
    <xf numFmtId="0" fontId="78" fillId="2" borderId="23" xfId="0" applyFont="1" applyFill="1" applyBorder="1" applyAlignment="1" applyProtection="1">
      <alignment horizontal="left" vertical="center"/>
    </xf>
    <xf numFmtId="0" fontId="78" fillId="2" borderId="33" xfId="0" applyFont="1" applyFill="1" applyBorder="1" applyAlignment="1" applyProtection="1">
      <alignment horizontal="left" vertical="center"/>
    </xf>
    <xf numFmtId="0" fontId="33" fillId="2" borderId="0" xfId="0" applyFont="1" applyFill="1" applyAlignment="1" applyProtection="1">
      <alignment horizontal="center" vertical="center"/>
    </xf>
    <xf numFmtId="4" fontId="20" fillId="2" borderId="0" xfId="0" applyNumberFormat="1" applyFont="1" applyFill="1" applyAlignment="1" applyProtection="1">
      <alignment vertical="center"/>
    </xf>
    <xf numFmtId="49" fontId="32" fillId="2" borderId="0" xfId="0" applyNumberFormat="1" applyFont="1" applyFill="1" applyBorder="1" applyAlignment="1" applyProtection="1">
      <alignment horizontal="center" vertical="center" wrapText="1"/>
    </xf>
    <xf numFmtId="49" fontId="37" fillId="2" borderId="0" xfId="0" applyNumberFormat="1" applyFont="1" applyFill="1" applyBorder="1" applyAlignment="1" applyProtection="1">
      <alignment horizontal="center" vertical="center" wrapText="1"/>
    </xf>
    <xf numFmtId="4" fontId="37" fillId="2" borderId="0" xfId="0" applyNumberFormat="1" applyFont="1" applyFill="1" applyBorder="1" applyAlignment="1" applyProtection="1">
      <alignment horizontal="center" vertical="center" wrapText="1"/>
    </xf>
    <xf numFmtId="0" fontId="33" fillId="2" borderId="0" xfId="0" applyFont="1" applyFill="1" applyAlignment="1" applyProtection="1">
      <alignment horizontal="center" vertical="center" wrapText="1"/>
    </xf>
    <xf numFmtId="164" fontId="7" fillId="3" borderId="0" xfId="0" applyNumberFormat="1" applyFont="1" applyFill="1" applyBorder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4" fontId="10" fillId="3" borderId="0" xfId="0" applyNumberFormat="1" applyFont="1" applyFill="1" applyBorder="1" applyAlignment="1" applyProtection="1">
      <alignment horizontal="center" vertical="center" wrapText="1"/>
    </xf>
    <xf numFmtId="1" fontId="3" fillId="3" borderId="0" xfId="0" applyNumberFormat="1" applyFont="1" applyFill="1" applyBorder="1" applyAlignment="1" applyProtection="1">
      <alignment vertical="center"/>
    </xf>
    <xf numFmtId="4" fontId="20" fillId="3" borderId="0" xfId="0" applyNumberFormat="1" applyFont="1" applyFill="1" applyBorder="1" applyAlignment="1" applyProtection="1">
      <alignment horizontal="center" vertical="center"/>
    </xf>
    <xf numFmtId="174" fontId="78" fillId="3" borderId="0" xfId="0" applyNumberFormat="1" applyFont="1" applyFill="1" applyBorder="1" applyAlignment="1" applyProtection="1">
      <alignment vertical="center" wrapText="1"/>
    </xf>
    <xf numFmtId="164" fontId="78" fillId="3" borderId="0" xfId="0" applyNumberFormat="1" applyFont="1" applyFill="1" applyBorder="1" applyAlignment="1" applyProtection="1">
      <alignment vertical="center" wrapText="1"/>
    </xf>
    <xf numFmtId="4" fontId="62" fillId="3" borderId="13" xfId="0" applyNumberFormat="1" applyFont="1" applyFill="1" applyBorder="1" applyAlignment="1" applyProtection="1">
      <alignment horizontal="center" vertical="center" wrapText="1"/>
    </xf>
    <xf numFmtId="0" fontId="50" fillId="3" borderId="1" xfId="0" applyFont="1" applyFill="1" applyBorder="1" applyAlignment="1" applyProtection="1">
      <alignment horizontal="left" vertical="center" wrapText="1"/>
      <protection locked="0"/>
    </xf>
    <xf numFmtId="49" fontId="50" fillId="3" borderId="1" xfId="0" applyNumberFormat="1" applyFont="1" applyFill="1" applyBorder="1" applyAlignment="1" applyProtection="1">
      <alignment horizontal="center" vertical="center"/>
      <protection locked="0"/>
    </xf>
    <xf numFmtId="4" fontId="50" fillId="3" borderId="1" xfId="0" applyNumberFormat="1" applyFont="1" applyFill="1" applyBorder="1" applyAlignment="1" applyProtection="1">
      <alignment horizontal="center" vertical="center"/>
      <protection locked="0"/>
    </xf>
    <xf numFmtId="165" fontId="50" fillId="3" borderId="14" xfId="5" applyFont="1" applyFill="1" applyBorder="1" applyAlignment="1" applyProtection="1">
      <alignment vertical="center"/>
      <protection locked="0"/>
    </xf>
    <xf numFmtId="0" fontId="50" fillId="3" borderId="15" xfId="0" applyFont="1" applyFill="1" applyBorder="1" applyAlignment="1" applyProtection="1">
      <alignment horizontal="left" vertical="center" wrapText="1"/>
      <protection locked="0"/>
    </xf>
    <xf numFmtId="49" fontId="50" fillId="3" borderId="15" xfId="0" applyNumberFormat="1" applyFont="1" applyFill="1" applyBorder="1" applyAlignment="1" applyProtection="1">
      <alignment horizontal="center" vertical="center"/>
      <protection locked="0"/>
    </xf>
    <xf numFmtId="4" fontId="50" fillId="3" borderId="15" xfId="0" applyNumberFormat="1" applyFont="1" applyFill="1" applyBorder="1" applyAlignment="1" applyProtection="1">
      <alignment horizontal="center" vertical="center"/>
      <protection locked="0"/>
    </xf>
    <xf numFmtId="165" fontId="50" fillId="3" borderId="13" xfId="5" applyFont="1" applyFill="1" applyBorder="1" applyAlignment="1" applyProtection="1">
      <alignment vertical="center"/>
      <protection locked="0"/>
    </xf>
    <xf numFmtId="165" fontId="96" fillId="3" borderId="13" xfId="5" applyFont="1" applyFill="1" applyBorder="1" applyAlignment="1" applyProtection="1">
      <alignment vertical="center"/>
    </xf>
    <xf numFmtId="0" fontId="69" fillId="2" borderId="0" xfId="0" applyFont="1" applyFill="1" applyAlignment="1" applyProtection="1">
      <alignment horizontal="center" vertical="center"/>
    </xf>
    <xf numFmtId="0" fontId="104" fillId="2" borderId="0" xfId="0" applyFont="1" applyFill="1" applyAlignment="1" applyProtection="1">
      <alignment vertical="center"/>
    </xf>
    <xf numFmtId="4" fontId="104" fillId="2" borderId="0" xfId="0" applyNumberFormat="1" applyFont="1" applyFill="1" applyAlignment="1" applyProtection="1">
      <alignment vertical="center"/>
    </xf>
    <xf numFmtId="164" fontId="97" fillId="3" borderId="0" xfId="0" applyNumberFormat="1" applyFont="1" applyFill="1" applyBorder="1" applyAlignment="1" applyProtection="1">
      <alignment vertical="center" wrapText="1"/>
    </xf>
    <xf numFmtId="0" fontId="102" fillId="0" borderId="0" xfId="0" applyFont="1" applyFill="1" applyAlignment="1" applyProtection="1">
      <alignment vertical="center"/>
    </xf>
    <xf numFmtId="0" fontId="105" fillId="0" borderId="0" xfId="0" applyFont="1" applyFill="1" applyAlignment="1" applyProtection="1">
      <alignment horizontal="center" vertical="center"/>
    </xf>
    <xf numFmtId="2" fontId="102" fillId="0" borderId="0" xfId="0" applyNumberFormat="1" applyFont="1" applyFill="1" applyAlignment="1" applyProtection="1">
      <alignment vertical="center"/>
    </xf>
    <xf numFmtId="4" fontId="62" fillId="2" borderId="22" xfId="0" applyNumberFormat="1" applyFont="1" applyFill="1" applyBorder="1" applyAlignment="1" applyProtection="1">
      <alignment horizontal="center" vertical="center" wrapText="1"/>
      <protection locked="0"/>
    </xf>
    <xf numFmtId="10" fontId="50" fillId="3" borderId="18" xfId="0" applyNumberFormat="1" applyFont="1" applyFill="1" applyBorder="1" applyAlignment="1" applyProtection="1">
      <alignment horizontal="center" vertical="center"/>
      <protection locked="0"/>
    </xf>
    <xf numFmtId="10" fontId="97" fillId="2" borderId="74" xfId="0" applyNumberFormat="1" applyFont="1" applyFill="1" applyBorder="1" applyAlignment="1" applyProtection="1">
      <alignment horizontal="center" vertical="center" wrapText="1"/>
    </xf>
    <xf numFmtId="10" fontId="93" fillId="2" borderId="16" xfId="0" applyNumberFormat="1" applyFont="1" applyFill="1" applyBorder="1" applyAlignment="1" applyProtection="1">
      <alignment horizontal="center" vertical="center" wrapText="1"/>
    </xf>
    <xf numFmtId="0" fontId="92" fillId="2" borderId="23" xfId="0" applyFont="1" applyFill="1" applyBorder="1" applyAlignment="1" applyProtection="1">
      <alignment horizontal="center" vertical="center" wrapText="1"/>
    </xf>
    <xf numFmtId="10" fontId="97" fillId="2" borderId="7" xfId="0" applyNumberFormat="1" applyFont="1" applyFill="1" applyBorder="1" applyAlignment="1" applyProtection="1">
      <alignment horizontal="center" vertical="center" wrapText="1"/>
    </xf>
    <xf numFmtId="10" fontId="96" fillId="2" borderId="7" xfId="0" applyNumberFormat="1" applyFont="1" applyFill="1" applyBorder="1" applyAlignment="1" applyProtection="1">
      <alignment horizontal="center" vertical="center" wrapText="1"/>
    </xf>
    <xf numFmtId="169" fontId="97" fillId="2" borderId="0" xfId="0" applyNumberFormat="1" applyFont="1" applyFill="1" applyBorder="1" applyAlignment="1" applyProtection="1">
      <alignment horizontal="center" vertical="center" wrapText="1"/>
    </xf>
    <xf numFmtId="165" fontId="97" fillId="2" borderId="12" xfId="5" applyFont="1" applyFill="1" applyBorder="1" applyAlignment="1" applyProtection="1">
      <alignment horizontal="center" vertical="center" wrapText="1"/>
    </xf>
    <xf numFmtId="165" fontId="97" fillId="2" borderId="22" xfId="5" applyFont="1" applyFill="1" applyBorder="1" applyAlignment="1" applyProtection="1">
      <alignment horizontal="center" vertical="center" wrapText="1"/>
    </xf>
    <xf numFmtId="165" fontId="93" fillId="2" borderId="31" xfId="5" applyFont="1" applyFill="1" applyBorder="1" applyAlignment="1" applyProtection="1">
      <alignment horizontal="center" vertical="center" wrapText="1"/>
    </xf>
    <xf numFmtId="165" fontId="93" fillId="2" borderId="7" xfId="5" applyFont="1" applyFill="1" applyBorder="1" applyAlignment="1" applyProtection="1">
      <alignment horizontal="center" vertical="center" wrapText="1"/>
    </xf>
    <xf numFmtId="165" fontId="93" fillId="2" borderId="33" xfId="5" applyFont="1" applyFill="1" applyBorder="1" applyAlignment="1" applyProtection="1">
      <alignment horizontal="center" vertical="center" wrapText="1"/>
    </xf>
    <xf numFmtId="10" fontId="97" fillId="2" borderId="7" xfId="0" applyNumberFormat="1" applyFont="1" applyFill="1" applyBorder="1" applyAlignment="1" applyProtection="1">
      <alignment horizontal="center" vertical="center"/>
    </xf>
    <xf numFmtId="10" fontId="97" fillId="2" borderId="74" xfId="0" applyNumberFormat="1" applyFont="1" applyFill="1" applyBorder="1" applyAlignment="1" applyProtection="1">
      <alignment horizontal="center" vertical="center"/>
    </xf>
    <xf numFmtId="10" fontId="93" fillId="2" borderId="7" xfId="0" applyNumberFormat="1" applyFont="1" applyFill="1" applyBorder="1" applyAlignment="1" applyProtection="1">
      <alignment horizontal="center" vertical="center" wrapText="1"/>
    </xf>
    <xf numFmtId="165" fontId="97" fillId="2" borderId="12" xfId="5" applyFont="1" applyFill="1" applyBorder="1" applyAlignment="1" applyProtection="1">
      <alignment vertical="center"/>
    </xf>
    <xf numFmtId="165" fontId="92" fillId="2" borderId="7" xfId="0" applyNumberFormat="1" applyFont="1" applyFill="1" applyBorder="1" applyAlignment="1" applyProtection="1">
      <alignment vertical="center"/>
    </xf>
    <xf numFmtId="0" fontId="78" fillId="2" borderId="23" xfId="0" applyFont="1" applyFill="1" applyBorder="1" applyAlignment="1" applyProtection="1">
      <alignment vertical="center"/>
    </xf>
    <xf numFmtId="0" fontId="78" fillId="2" borderId="33" xfId="0" applyFont="1" applyFill="1" applyBorder="1" applyAlignment="1" applyProtection="1">
      <alignment vertical="center"/>
    </xf>
    <xf numFmtId="165" fontId="97" fillId="2" borderId="22" xfId="5" applyFont="1" applyFill="1" applyBorder="1" applyAlignment="1" applyProtection="1">
      <alignment vertical="center"/>
    </xf>
    <xf numFmtId="4" fontId="97" fillId="2" borderId="7" xfId="0" applyNumberFormat="1" applyFont="1" applyFill="1" applyBorder="1" applyAlignment="1" applyProtection="1">
      <alignment horizontal="center" vertical="center" wrapText="1"/>
    </xf>
    <xf numFmtId="4" fontId="92" fillId="2" borderId="33" xfId="0" applyNumberFormat="1" applyFont="1" applyFill="1" applyBorder="1" applyAlignment="1" applyProtection="1">
      <alignment horizontal="center" vertical="center" wrapText="1"/>
    </xf>
    <xf numFmtId="165" fontId="97" fillId="2" borderId="22" xfId="5" applyNumberFormat="1" applyFont="1" applyFill="1" applyBorder="1" applyAlignment="1" applyProtection="1">
      <alignment horizontal="center" vertical="center" wrapText="1"/>
    </xf>
    <xf numFmtId="0" fontId="105" fillId="2" borderId="75" xfId="0" applyNumberFormat="1" applyFont="1" applyFill="1" applyBorder="1" applyAlignment="1" applyProtection="1">
      <alignment horizontal="left" vertical="center"/>
      <protection locked="0"/>
    </xf>
    <xf numFmtId="0" fontId="105" fillId="2" borderId="55" xfId="0" applyNumberFormat="1" applyFont="1" applyFill="1" applyBorder="1" applyAlignment="1" applyProtection="1">
      <alignment horizontal="left" vertical="center"/>
      <protection locked="0"/>
    </xf>
    <xf numFmtId="0" fontId="105" fillId="2" borderId="76" xfId="0" applyNumberFormat="1" applyFont="1" applyFill="1" applyBorder="1" applyAlignment="1" applyProtection="1">
      <alignment horizontal="left" vertical="center"/>
      <protection locked="0"/>
    </xf>
    <xf numFmtId="1" fontId="97" fillId="2" borderId="74" xfId="0" applyNumberFormat="1" applyFont="1" applyFill="1" applyBorder="1" applyAlignment="1" applyProtection="1">
      <alignment horizontal="center" vertical="center" wrapText="1"/>
    </xf>
    <xf numFmtId="165" fontId="97" fillId="2" borderId="74" xfId="5" applyFont="1" applyFill="1" applyBorder="1" applyAlignment="1" applyProtection="1">
      <alignment horizontal="center" vertical="center" wrapText="1"/>
    </xf>
    <xf numFmtId="1" fontId="97" fillId="2" borderId="7" xfId="0" applyNumberFormat="1" applyFont="1" applyFill="1" applyBorder="1" applyAlignment="1" applyProtection="1">
      <alignment horizontal="center" vertical="center" wrapText="1"/>
    </xf>
    <xf numFmtId="165" fontId="97" fillId="2" borderId="7" xfId="5" applyFont="1" applyFill="1" applyBorder="1" applyAlignment="1" applyProtection="1">
      <alignment horizontal="center" vertical="center" wrapText="1"/>
    </xf>
    <xf numFmtId="165" fontId="92" fillId="2" borderId="7" xfId="5" applyFont="1" applyFill="1" applyBorder="1" applyAlignment="1" applyProtection="1">
      <alignment horizontal="left" vertical="center" wrapText="1"/>
    </xf>
    <xf numFmtId="39" fontId="92" fillId="2" borderId="7" xfId="5" applyNumberFormat="1" applyFont="1" applyFill="1" applyBorder="1" applyAlignment="1" applyProtection="1">
      <alignment vertical="center"/>
    </xf>
    <xf numFmtId="0" fontId="62" fillId="2" borderId="0" xfId="0" applyFont="1" applyFill="1" applyBorder="1" applyAlignment="1" applyProtection="1">
      <alignment horizontal="right" vertical="center"/>
    </xf>
    <xf numFmtId="1" fontId="92" fillId="2" borderId="7" xfId="0" applyNumberFormat="1" applyFont="1" applyFill="1" applyBorder="1" applyAlignment="1" applyProtection="1">
      <alignment horizontal="center" vertical="center" wrapText="1"/>
    </xf>
    <xf numFmtId="1" fontId="78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7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6" fillId="2" borderId="0" xfId="0" applyFont="1" applyFill="1" applyAlignment="1">
      <alignment vertical="center" wrapText="1"/>
    </xf>
    <xf numFmtId="0" fontId="96" fillId="2" borderId="0" xfId="0" applyFont="1" applyFill="1" applyAlignment="1">
      <alignment vertical="center"/>
    </xf>
    <xf numFmtId="0" fontId="96" fillId="2" borderId="0" xfId="0" applyFont="1" applyFill="1" applyAlignment="1">
      <alignment horizontal="left" vertical="center"/>
    </xf>
    <xf numFmtId="165" fontId="92" fillId="2" borderId="60" xfId="0" applyNumberFormat="1" applyFont="1" applyFill="1" applyBorder="1" applyAlignment="1">
      <alignment vertical="center"/>
    </xf>
    <xf numFmtId="165" fontId="92" fillId="2" borderId="62" xfId="0" applyNumberFormat="1" applyFont="1" applyFill="1" applyBorder="1" applyAlignment="1">
      <alignment vertical="center"/>
    </xf>
    <xf numFmtId="165" fontId="92" fillId="2" borderId="61" xfId="0" applyNumberFormat="1" applyFont="1" applyFill="1" applyBorder="1" applyAlignment="1">
      <alignment vertical="center"/>
    </xf>
    <xf numFmtId="165" fontId="92" fillId="2" borderId="59" xfId="0" applyNumberFormat="1" applyFont="1" applyFill="1" applyBorder="1" applyAlignment="1">
      <alignment vertical="center"/>
    </xf>
    <xf numFmtId="165" fontId="97" fillId="2" borderId="64" xfId="5" applyNumberFormat="1" applyFont="1" applyFill="1" applyBorder="1" applyAlignment="1" applyProtection="1">
      <alignment vertical="center"/>
    </xf>
    <xf numFmtId="165" fontId="92" fillId="2" borderId="64" xfId="5" applyNumberFormat="1" applyFont="1" applyFill="1" applyBorder="1" applyAlignment="1" applyProtection="1">
      <alignment vertical="center"/>
    </xf>
    <xf numFmtId="165" fontId="97" fillId="2" borderId="65" xfId="5" quotePrefix="1" applyNumberFormat="1" applyFont="1" applyFill="1" applyBorder="1" applyAlignment="1" applyProtection="1">
      <alignment vertical="center"/>
    </xf>
    <xf numFmtId="165" fontId="97" fillId="2" borderId="67" xfId="0" applyNumberFormat="1" applyFont="1" applyFill="1" applyBorder="1" applyAlignment="1">
      <alignment vertical="center"/>
    </xf>
    <xf numFmtId="165" fontId="96" fillId="3" borderId="13" xfId="5" applyNumberFormat="1" applyFont="1" applyFill="1" applyBorder="1" applyAlignment="1" applyProtection="1">
      <alignment vertical="center"/>
    </xf>
    <xf numFmtId="0" fontId="107" fillId="2" borderId="0" xfId="0" applyFont="1" applyFill="1" applyAlignment="1" applyProtection="1">
      <alignment vertical="center"/>
    </xf>
    <xf numFmtId="0" fontId="54" fillId="0" borderId="7" xfId="0" applyFont="1" applyFill="1" applyBorder="1" applyAlignment="1" applyProtection="1">
      <alignment horizontal="center" vertical="center" wrapText="1"/>
    </xf>
    <xf numFmtId="165" fontId="97" fillId="2" borderId="67" xfId="0" applyNumberFormat="1" applyFont="1" applyFill="1" applyBorder="1" applyAlignment="1" applyProtection="1">
      <alignment vertical="center"/>
    </xf>
    <xf numFmtId="0" fontId="68" fillId="2" borderId="0" xfId="0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vertical="center"/>
    </xf>
    <xf numFmtId="165" fontId="92" fillId="2" borderId="64" xfId="5" applyFont="1" applyFill="1" applyBorder="1" applyAlignment="1" applyProtection="1">
      <alignment horizontal="left" wrapText="1"/>
    </xf>
    <xf numFmtId="165" fontId="92" fillId="2" borderId="65" xfId="5" applyFont="1" applyFill="1" applyBorder="1" applyAlignment="1" applyProtection="1">
      <alignment horizontal="left" wrapText="1"/>
    </xf>
    <xf numFmtId="165" fontId="92" fillId="2" borderId="67" xfId="5" applyFont="1" applyFill="1" applyBorder="1" applyAlignment="1" applyProtection="1">
      <alignment horizontal="left" wrapText="1"/>
    </xf>
    <xf numFmtId="2" fontId="108" fillId="2" borderId="0" xfId="0" applyNumberFormat="1" applyFont="1" applyFill="1" applyBorder="1" applyAlignment="1" applyProtection="1">
      <alignment horizontal="center" vertical="center" wrapText="1"/>
    </xf>
    <xf numFmtId="165" fontId="54" fillId="2" borderId="33" xfId="5" applyNumberFormat="1" applyFont="1" applyFill="1" applyBorder="1" applyAlignment="1" applyProtection="1">
      <alignment horizontal="center" vertical="center" wrapText="1"/>
    </xf>
    <xf numFmtId="0" fontId="109" fillId="0" borderId="0" xfId="0" applyFont="1" applyFill="1" applyAlignment="1" applyProtection="1">
      <alignment horizontal="left" vertical="center"/>
    </xf>
    <xf numFmtId="165" fontId="93" fillId="0" borderId="7" xfId="5" quotePrefix="1" applyFont="1" applyFill="1" applyBorder="1" applyAlignment="1" applyProtection="1">
      <alignment horizontal="center" vertical="center"/>
      <protection locked="0"/>
    </xf>
    <xf numFmtId="10" fontId="50" fillId="0" borderId="77" xfId="5" applyNumberFormat="1" applyFont="1" applyFill="1" applyBorder="1" applyAlignment="1" applyProtection="1">
      <alignment horizontal="center" vertical="center"/>
      <protection locked="0"/>
    </xf>
    <xf numFmtId="2" fontId="62" fillId="2" borderId="71" xfId="0" applyNumberFormat="1" applyFont="1" applyFill="1" applyBorder="1" applyAlignment="1">
      <alignment horizontal="center" vertical="center" wrapText="1"/>
    </xf>
    <xf numFmtId="0" fontId="110" fillId="2" borderId="0" xfId="0" applyFont="1" applyFill="1" applyBorder="1" applyAlignment="1" applyProtection="1">
      <alignment vertical="center"/>
    </xf>
    <xf numFmtId="167" fontId="92" fillId="2" borderId="0" xfId="0" applyNumberFormat="1" applyFont="1" applyFill="1" applyBorder="1" applyAlignment="1">
      <alignment vertical="center"/>
    </xf>
    <xf numFmtId="0" fontId="62" fillId="2" borderId="7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177" fontId="110" fillId="2" borderId="0" xfId="2" applyNumberFormat="1" applyFont="1" applyFill="1" applyBorder="1" applyAlignment="1" applyProtection="1">
      <alignment vertical="center"/>
    </xf>
    <xf numFmtId="165" fontId="110" fillId="2" borderId="0" xfId="5" applyFont="1" applyFill="1" applyBorder="1" applyAlignment="1" applyProtection="1">
      <alignment horizontal="center" vertical="center"/>
      <protection hidden="1"/>
    </xf>
    <xf numFmtId="177" fontId="104" fillId="2" borderId="0" xfId="2" applyNumberFormat="1" applyFont="1" applyFill="1" applyBorder="1" applyAlignment="1" applyProtection="1">
      <alignment vertical="center"/>
    </xf>
    <xf numFmtId="0" fontId="110" fillId="2" borderId="0" xfId="0" applyFont="1" applyFill="1" applyBorder="1" applyAlignment="1" applyProtection="1">
      <alignment vertical="center"/>
      <protection hidden="1"/>
    </xf>
    <xf numFmtId="0" fontId="104" fillId="2" borderId="0" xfId="0" applyFont="1" applyFill="1" applyBorder="1" applyAlignment="1" applyProtection="1">
      <alignment vertical="center"/>
    </xf>
    <xf numFmtId="0" fontId="104" fillId="2" borderId="0" xfId="0" applyFont="1" applyFill="1" applyBorder="1" applyAlignment="1" applyProtection="1">
      <alignment vertical="center"/>
      <protection hidden="1"/>
    </xf>
    <xf numFmtId="165" fontId="110" fillId="2" borderId="0" xfId="5" applyFont="1" applyFill="1" applyBorder="1" applyAlignment="1" applyProtection="1">
      <alignment horizontal="center" vertical="center"/>
    </xf>
    <xf numFmtId="10" fontId="110" fillId="2" borderId="0" xfId="0" applyNumberFormat="1" applyFont="1" applyFill="1" applyBorder="1" applyAlignment="1" applyProtection="1">
      <alignment horizontal="center" vertical="center"/>
    </xf>
    <xf numFmtId="10" fontId="110" fillId="2" borderId="0" xfId="0" applyNumberFormat="1" applyFont="1" applyFill="1" applyBorder="1" applyAlignment="1" applyProtection="1">
      <alignment horizontal="center" vertical="center"/>
      <protection locked="0"/>
    </xf>
    <xf numFmtId="10" fontId="110" fillId="2" borderId="0" xfId="4" applyNumberFormat="1" applyFont="1" applyFill="1" applyBorder="1" applyAlignment="1" applyProtection="1">
      <alignment horizontal="center" vertical="center"/>
    </xf>
    <xf numFmtId="0" fontId="104" fillId="2" borderId="0" xfId="0" applyFont="1" applyFill="1" applyBorder="1" applyProtection="1"/>
    <xf numFmtId="169" fontId="7" fillId="2" borderId="0" xfId="0" applyNumberFormat="1" applyFont="1" applyFill="1" applyBorder="1" applyAlignment="1" applyProtection="1">
      <alignment vertical="center" wrapText="1"/>
    </xf>
    <xf numFmtId="169" fontId="7" fillId="2" borderId="8" xfId="0" applyNumberFormat="1" applyFont="1" applyFill="1" applyBorder="1" applyAlignment="1" applyProtection="1">
      <alignment vertical="center" wrapText="1"/>
    </xf>
    <xf numFmtId="10" fontId="69" fillId="2" borderId="11" xfId="4" applyNumberFormat="1" applyFont="1" applyFill="1" applyBorder="1" applyAlignment="1" applyProtection="1">
      <alignment horizontal="center" vertical="center" wrapText="1"/>
    </xf>
    <xf numFmtId="10" fontId="69" fillId="2" borderId="0" xfId="4" applyNumberFormat="1" applyFont="1" applyFill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horizontal="center" vertical="top" wrapText="1"/>
      <protection locked="0"/>
    </xf>
    <xf numFmtId="0" fontId="4" fillId="0" borderId="0" xfId="1" applyFill="1" applyBorder="1" applyAlignment="1" applyProtection="1">
      <alignment horizontal="center" vertical="center" wrapText="1"/>
      <protection locked="0"/>
    </xf>
    <xf numFmtId="0" fontId="69" fillId="2" borderId="0" xfId="0" applyFont="1" applyFill="1" applyAlignment="1" applyProtection="1">
      <alignment vertical="center"/>
    </xf>
    <xf numFmtId="49" fontId="69" fillId="2" borderId="0" xfId="0" applyNumberFormat="1" applyFont="1" applyFill="1" applyAlignment="1" applyProtection="1">
      <alignment horizontal="center" vertical="center"/>
    </xf>
    <xf numFmtId="167" fontId="62" fillId="2" borderId="24" xfId="0" applyNumberFormat="1" applyFont="1" applyFill="1" applyBorder="1" applyAlignment="1" applyProtection="1">
      <alignment vertical="center"/>
    </xf>
    <xf numFmtId="165" fontId="62" fillId="2" borderId="24" xfId="5" applyFont="1" applyFill="1" applyBorder="1" applyAlignment="1" applyProtection="1">
      <alignment horizontal="left" vertical="center" wrapText="1"/>
    </xf>
    <xf numFmtId="165" fontId="50" fillId="0" borderId="77" xfId="5" applyFont="1" applyFill="1" applyBorder="1" applyAlignment="1" applyProtection="1">
      <alignment horizontal="center" vertical="center"/>
      <protection locked="0"/>
    </xf>
    <xf numFmtId="0" fontId="75" fillId="3" borderId="0" xfId="3" applyFont="1" applyFill="1" applyBorder="1" applyAlignment="1" applyProtection="1">
      <alignment horizontal="left" vertical="center" wrapText="1"/>
    </xf>
    <xf numFmtId="10" fontId="63" fillId="4" borderId="56" xfId="3" applyNumberFormat="1" applyFont="1" applyFill="1" applyBorder="1" applyAlignment="1" applyProtection="1">
      <alignment horizontal="center" vertical="center" wrapText="1"/>
      <protection locked="0"/>
    </xf>
    <xf numFmtId="2" fontId="63" fillId="4" borderId="56" xfId="3" applyNumberFormat="1" applyFont="1" applyFill="1" applyBorder="1" applyAlignment="1" applyProtection="1">
      <alignment horizontal="center" vertical="center" wrapText="1"/>
      <protection locked="0"/>
    </xf>
    <xf numFmtId="2" fontId="97" fillId="3" borderId="14" xfId="3" applyNumberFormat="1" applyFont="1" applyFill="1" applyBorder="1" applyAlignment="1" applyProtection="1">
      <alignment horizontal="center" vertical="top"/>
    </xf>
    <xf numFmtId="10" fontId="63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63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92" fillId="2" borderId="7" xfId="0" applyNumberFormat="1" applyFont="1" applyFill="1" applyBorder="1" applyAlignment="1" applyProtection="1">
      <alignment horizontal="center" vertical="center"/>
    </xf>
    <xf numFmtId="0" fontId="107" fillId="2" borderId="0" xfId="0" applyFont="1" applyFill="1" applyBorder="1" applyAlignment="1" applyProtection="1">
      <alignment vertical="center"/>
    </xf>
    <xf numFmtId="2" fontId="69" fillId="2" borderId="0" xfId="0" applyNumberFormat="1" applyFont="1" applyFill="1" applyAlignment="1" applyProtection="1">
      <alignment vertical="center"/>
    </xf>
    <xf numFmtId="0" fontId="69" fillId="2" borderId="0" xfId="0" applyNumberFormat="1" applyFont="1" applyFill="1" applyAlignment="1" applyProtection="1">
      <alignment vertical="center"/>
    </xf>
    <xf numFmtId="10" fontId="69" fillId="2" borderId="0" xfId="0" applyNumberFormat="1" applyFont="1" applyFill="1" applyAlignment="1" applyProtection="1">
      <alignment horizontal="center" vertical="center"/>
    </xf>
    <xf numFmtId="0" fontId="54" fillId="0" borderId="0" xfId="0" applyFont="1" applyFill="1" applyBorder="1" applyAlignment="1" applyProtection="1">
      <alignment horizontal="center" vertical="center" textRotation="90" wrapText="1"/>
      <protection locked="0"/>
    </xf>
    <xf numFmtId="165" fontId="93" fillId="0" borderId="0" xfId="5" applyFont="1" applyFill="1" applyBorder="1" applyAlignment="1" applyProtection="1">
      <alignment horizontal="right" vertical="center"/>
      <protection locked="0"/>
    </xf>
    <xf numFmtId="165" fontId="96" fillId="0" borderId="0" xfId="5" applyFont="1" applyFill="1" applyBorder="1" applyAlignment="1" applyProtection="1">
      <alignment horizontal="center" vertical="center"/>
    </xf>
    <xf numFmtId="182" fontId="3" fillId="0" borderId="0" xfId="0" applyNumberFormat="1" applyFont="1" applyFill="1" applyBorder="1" applyAlignment="1" applyProtection="1">
      <alignment vertical="center"/>
    </xf>
    <xf numFmtId="183" fontId="3" fillId="0" borderId="0" xfId="0" applyNumberFormat="1" applyFont="1" applyFill="1" applyBorder="1" applyAlignment="1" applyProtection="1">
      <alignment vertical="center"/>
    </xf>
    <xf numFmtId="165" fontId="113" fillId="3" borderId="0" xfId="5" applyFont="1" applyFill="1" applyBorder="1" applyAlignment="1" applyProtection="1">
      <alignment vertical="center"/>
    </xf>
    <xf numFmtId="0" fontId="114" fillId="3" borderId="0" xfId="0" applyFont="1" applyFill="1" applyBorder="1" applyAlignment="1" applyProtection="1">
      <alignment horizontal="right" vertical="center"/>
    </xf>
    <xf numFmtId="39" fontId="114" fillId="3" borderId="0" xfId="5" applyNumberFormat="1" applyFont="1" applyFill="1" applyBorder="1" applyAlignment="1" applyProtection="1">
      <alignment vertical="center" wrapText="1"/>
    </xf>
    <xf numFmtId="0" fontId="114" fillId="0" borderId="0" xfId="0" applyFont="1" applyFill="1" applyBorder="1" applyAlignment="1" applyProtection="1">
      <alignment vertical="center"/>
    </xf>
    <xf numFmtId="0" fontId="115" fillId="0" borderId="0" xfId="0" applyFont="1" applyFill="1" applyBorder="1" applyAlignment="1" applyProtection="1">
      <alignment horizontal="center" vertical="center" textRotation="45" wrapText="1"/>
    </xf>
    <xf numFmtId="49" fontId="116" fillId="0" borderId="0" xfId="0" applyNumberFormat="1" applyFont="1" applyFill="1" applyBorder="1" applyAlignment="1" applyProtection="1">
      <alignment horizontal="center" vertical="center"/>
    </xf>
    <xf numFmtId="0" fontId="117" fillId="0" borderId="0" xfId="0" applyFont="1" applyFill="1" applyBorder="1" applyAlignment="1" applyProtection="1">
      <alignment vertical="center"/>
    </xf>
    <xf numFmtId="43" fontId="3" fillId="0" borderId="0" xfId="0" applyNumberFormat="1" applyFont="1" applyFill="1" applyBorder="1" applyAlignment="1" applyProtection="1">
      <alignment vertical="center"/>
    </xf>
    <xf numFmtId="1" fontId="54" fillId="2" borderId="16" xfId="0" applyNumberFormat="1" applyFont="1" applyFill="1" applyBorder="1" applyAlignment="1" applyProtection="1">
      <alignment horizontal="center" vertical="center"/>
      <protection locked="0"/>
    </xf>
    <xf numFmtId="10" fontId="5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92" fillId="3" borderId="7" xfId="0" applyFont="1" applyFill="1" applyBorder="1" applyAlignment="1" applyProtection="1">
      <alignment horizontal="left" vertical="center" wrapText="1"/>
    </xf>
    <xf numFmtId="165" fontId="92" fillId="2" borderId="7" xfId="5" applyFont="1" applyFill="1" applyBorder="1" applyAlignment="1" applyProtection="1">
      <alignment vertical="center"/>
    </xf>
    <xf numFmtId="1" fontId="62" fillId="2" borderId="24" xfId="5" applyNumberFormat="1" applyFont="1" applyFill="1" applyBorder="1" applyAlignment="1" applyProtection="1">
      <alignment horizontal="left" vertical="center" wrapText="1"/>
    </xf>
    <xf numFmtId="49" fontId="75" fillId="3" borderId="0" xfId="0" applyNumberFormat="1" applyFont="1" applyFill="1" applyBorder="1" applyAlignment="1" applyProtection="1">
      <alignment horizontal="left" vertical="center"/>
    </xf>
    <xf numFmtId="4" fontId="118" fillId="2" borderId="0" xfId="0" applyNumberFormat="1" applyFont="1" applyFill="1" applyBorder="1" applyAlignment="1" applyProtection="1">
      <alignment horizontal="center" vertical="center" wrapText="1"/>
    </xf>
    <xf numFmtId="4" fontId="118" fillId="2" borderId="0" xfId="0" applyNumberFormat="1" applyFont="1" applyFill="1" applyBorder="1" applyAlignment="1" applyProtection="1">
      <alignment horizontal="center" vertical="center" textRotation="90" wrapText="1"/>
    </xf>
    <xf numFmtId="0" fontId="118" fillId="2" borderId="0" xfId="0" applyFont="1" applyFill="1" applyBorder="1" applyAlignment="1" applyProtection="1">
      <alignment horizontal="center" vertical="center" textRotation="90" wrapText="1"/>
    </xf>
    <xf numFmtId="165" fontId="118" fillId="2" borderId="0" xfId="5" applyFont="1" applyFill="1" applyBorder="1" applyAlignment="1" applyProtection="1">
      <alignment horizontal="center" vertical="center" textRotation="45" wrapText="1"/>
    </xf>
    <xf numFmtId="0" fontId="118" fillId="2" borderId="0" xfId="0" applyFont="1" applyFill="1" applyBorder="1" applyAlignment="1" applyProtection="1">
      <alignment horizontal="center" vertical="center" textRotation="45" wrapText="1"/>
    </xf>
    <xf numFmtId="4" fontId="118" fillId="2" borderId="0" xfId="0" applyNumberFormat="1" applyFont="1" applyFill="1" applyBorder="1" applyAlignment="1" applyProtection="1">
      <alignment horizontal="center" vertical="center" textRotation="45" wrapText="1"/>
    </xf>
    <xf numFmtId="0" fontId="119" fillId="2" borderId="0" xfId="0" applyNumberFormat="1" applyFont="1" applyFill="1" applyBorder="1" applyAlignment="1" applyProtection="1">
      <alignment horizontal="center" vertical="center"/>
    </xf>
    <xf numFmtId="49" fontId="119" fillId="2" borderId="0" xfId="0" applyNumberFormat="1" applyFont="1" applyFill="1" applyBorder="1" applyAlignment="1" applyProtection="1">
      <alignment horizontal="center" vertical="center"/>
    </xf>
    <xf numFmtId="165" fontId="119" fillId="2" borderId="0" xfId="5" applyFont="1" applyFill="1" applyBorder="1" applyAlignment="1" applyProtection="1">
      <alignment horizontal="center" vertical="center"/>
    </xf>
    <xf numFmtId="49" fontId="119" fillId="2" borderId="0" xfId="0" applyNumberFormat="1" applyFont="1" applyFill="1" applyBorder="1" applyAlignment="1" applyProtection="1">
      <alignment horizontal="left" vertical="center"/>
    </xf>
    <xf numFmtId="165" fontId="120" fillId="2" borderId="0" xfId="5" quotePrefix="1" applyFont="1" applyFill="1" applyBorder="1" applyAlignment="1" applyProtection="1">
      <alignment horizontal="center" vertical="center"/>
    </xf>
    <xf numFmtId="0" fontId="120" fillId="2" borderId="0" xfId="0" applyFont="1" applyFill="1" applyBorder="1" applyAlignment="1" applyProtection="1">
      <alignment vertical="center"/>
    </xf>
    <xf numFmtId="165" fontId="120" fillId="2" borderId="0" xfId="5" applyFont="1" applyFill="1" applyBorder="1" applyAlignment="1" applyProtection="1">
      <alignment vertical="center"/>
    </xf>
    <xf numFmtId="2" fontId="120" fillId="2" borderId="0" xfId="0" applyNumberFormat="1" applyFont="1" applyFill="1" applyBorder="1" applyAlignment="1" applyProtection="1">
      <alignment vertical="center"/>
    </xf>
    <xf numFmtId="1" fontId="120" fillId="2" borderId="0" xfId="0" applyNumberFormat="1" applyFont="1" applyFill="1" applyBorder="1" applyAlignment="1" applyProtection="1">
      <alignment horizontal="center" vertical="center"/>
    </xf>
    <xf numFmtId="2" fontId="120" fillId="2" borderId="0" xfId="0" applyNumberFormat="1" applyFont="1" applyFill="1" applyBorder="1" applyAlignment="1" applyProtection="1">
      <alignment horizontal="center" vertical="center"/>
    </xf>
    <xf numFmtId="0" fontId="120" fillId="2" borderId="0" xfId="0" applyFont="1" applyFill="1" applyBorder="1" applyAlignment="1" applyProtection="1">
      <alignment horizontal="center" vertical="center"/>
    </xf>
    <xf numFmtId="165" fontId="120" fillId="2" borderId="0" xfId="0" applyNumberFormat="1" applyFont="1" applyFill="1" applyBorder="1" applyAlignment="1" applyProtection="1">
      <alignment vertical="center"/>
    </xf>
    <xf numFmtId="165" fontId="120" fillId="2" borderId="0" xfId="0" applyNumberFormat="1" applyFont="1" applyFill="1" applyBorder="1" applyAlignment="1" applyProtection="1">
      <alignment horizontal="center" vertical="center"/>
    </xf>
    <xf numFmtId="0" fontId="118" fillId="0" borderId="0" xfId="0" applyFont="1" applyFill="1" applyBorder="1" applyAlignment="1" applyProtection="1">
      <alignment horizontal="center" vertical="center" textRotation="45" wrapText="1"/>
    </xf>
    <xf numFmtId="49" fontId="119" fillId="0" borderId="0" xfId="0" applyNumberFormat="1" applyFont="1" applyFill="1" applyBorder="1" applyAlignment="1" applyProtection="1">
      <alignment horizontal="center" vertical="center"/>
    </xf>
    <xf numFmtId="0" fontId="120" fillId="0" borderId="0" xfId="0" applyFont="1" applyFill="1" applyBorder="1" applyAlignment="1" applyProtection="1">
      <alignment vertical="center"/>
    </xf>
    <xf numFmtId="0" fontId="120" fillId="0" borderId="0" xfId="0" applyFont="1" applyFill="1" applyBorder="1" applyAlignment="1" applyProtection="1">
      <alignment horizontal="right" vertical="center"/>
    </xf>
    <xf numFmtId="2" fontId="120" fillId="2" borderId="0" xfId="0" applyNumberFormat="1" applyFont="1" applyFill="1" applyBorder="1" applyAlignment="1" applyProtection="1">
      <alignment horizontal="right" vertical="center"/>
    </xf>
    <xf numFmtId="172" fontId="57" fillId="0" borderId="7" xfId="5" applyNumberFormat="1" applyFont="1" applyFill="1" applyBorder="1" applyAlignment="1" applyProtection="1">
      <alignment vertical="center" wrapText="1"/>
    </xf>
    <xf numFmtId="165" fontId="93" fillId="0" borderId="0" xfId="5" applyFont="1" applyFill="1" applyBorder="1" applyAlignment="1" applyProtection="1">
      <alignment horizontal="right" vertical="center"/>
    </xf>
    <xf numFmtId="165" fontId="57" fillId="0" borderId="7" xfId="5" applyNumberFormat="1" applyFont="1" applyFill="1" applyBorder="1" applyAlignment="1" applyProtection="1">
      <alignment vertical="center" wrapText="1"/>
    </xf>
    <xf numFmtId="0" fontId="92" fillId="3" borderId="13" xfId="0" applyFont="1" applyFill="1" applyBorder="1" applyAlignment="1" applyProtection="1">
      <alignment horizontal="left" vertical="center" wrapText="1"/>
    </xf>
    <xf numFmtId="165" fontId="92" fillId="2" borderId="13" xfId="5" applyFont="1" applyFill="1" applyBorder="1" applyAlignment="1" applyProtection="1">
      <alignment vertical="center"/>
      <protection locked="0"/>
    </xf>
    <xf numFmtId="1" fontId="54" fillId="2" borderId="78" xfId="0" applyNumberFormat="1" applyFont="1" applyFill="1" applyBorder="1" applyAlignment="1" applyProtection="1">
      <alignment horizontal="center" vertical="center"/>
      <protection locked="0"/>
    </xf>
    <xf numFmtId="165" fontId="54" fillId="2" borderId="78" xfId="5" applyFont="1" applyFill="1" applyBorder="1" applyAlignment="1" applyProtection="1">
      <alignment horizontal="center" vertical="center"/>
      <protection locked="0"/>
    </xf>
    <xf numFmtId="9" fontId="54" fillId="2" borderId="78" xfId="4" applyFont="1" applyFill="1" applyBorder="1" applyAlignment="1" applyProtection="1">
      <alignment horizontal="center" vertical="center"/>
      <protection locked="0"/>
    </xf>
    <xf numFmtId="10" fontId="56" fillId="0" borderId="77" xfId="5" applyNumberFormat="1" applyFont="1" applyFill="1" applyBorder="1" applyAlignment="1" applyProtection="1">
      <alignment horizontal="center" vertical="center"/>
    </xf>
    <xf numFmtId="4" fontId="54" fillId="0" borderId="0" xfId="0" applyNumberFormat="1" applyFont="1" applyFill="1" applyBorder="1" applyAlignment="1" applyProtection="1">
      <alignment horizontal="center" vertical="center" textRotation="45" wrapText="1"/>
    </xf>
    <xf numFmtId="0" fontId="55" fillId="0" borderId="0" xfId="0" applyNumberFormat="1" applyFont="1" applyFill="1" applyBorder="1" applyAlignment="1" applyProtection="1">
      <alignment horizontal="center" vertical="center"/>
    </xf>
    <xf numFmtId="49" fontId="55" fillId="0" borderId="0" xfId="0" applyNumberFormat="1" applyFont="1" applyFill="1" applyBorder="1" applyAlignment="1" applyProtection="1">
      <alignment horizontal="center" vertical="center"/>
    </xf>
    <xf numFmtId="165" fontId="57" fillId="0" borderId="1" xfId="5" quotePrefix="1" applyFont="1" applyFill="1" applyBorder="1" applyAlignment="1" applyProtection="1">
      <alignment horizontal="center" vertical="center"/>
    </xf>
    <xf numFmtId="165" fontId="57" fillId="0" borderId="0" xfId="0" applyNumberFormat="1" applyFont="1" applyFill="1" applyBorder="1" applyAlignment="1" applyProtection="1">
      <alignment horizontal="center" vertical="center"/>
    </xf>
    <xf numFmtId="165" fontId="56" fillId="0" borderId="54" xfId="5" applyNumberFormat="1" applyFont="1" applyFill="1" applyBorder="1" applyAlignment="1" applyProtection="1">
      <alignment horizontal="center" vertical="center"/>
    </xf>
    <xf numFmtId="165" fontId="56" fillId="0" borderId="0" xfId="0" applyNumberFormat="1" applyFont="1" applyFill="1" applyBorder="1" applyAlignment="1" applyProtection="1">
      <alignment vertical="center"/>
    </xf>
    <xf numFmtId="165" fontId="110" fillId="2" borderId="0" xfId="5" applyFont="1" applyFill="1" applyBorder="1" applyAlignment="1" applyProtection="1">
      <alignment vertical="center"/>
    </xf>
    <xf numFmtId="0" fontId="110" fillId="2" borderId="0" xfId="0" applyFont="1" applyFill="1" applyBorder="1" applyAlignment="1" applyProtection="1">
      <alignment horizontal="center" vertical="center"/>
    </xf>
    <xf numFmtId="0" fontId="110" fillId="0" borderId="0" xfId="0" applyFont="1" applyFill="1" applyBorder="1" applyAlignment="1" applyProtection="1">
      <alignment vertical="center"/>
    </xf>
    <xf numFmtId="1" fontId="110" fillId="2" borderId="0" xfId="0" applyNumberFormat="1" applyFont="1" applyFill="1" applyBorder="1" applyAlignment="1" applyProtection="1">
      <alignment horizontal="center" vertical="center"/>
    </xf>
    <xf numFmtId="1" fontId="110" fillId="2" borderId="0" xfId="5" applyNumberFormat="1" applyFont="1" applyFill="1" applyBorder="1" applyAlignment="1" applyProtection="1">
      <alignment horizontal="center" vertical="center"/>
    </xf>
    <xf numFmtId="165" fontId="110" fillId="2" borderId="0" xfId="0" applyNumberFormat="1" applyFont="1" applyFill="1" applyBorder="1" applyAlignment="1" applyProtection="1">
      <alignment vertical="center"/>
    </xf>
    <xf numFmtId="0" fontId="56" fillId="2" borderId="79" xfId="0" applyFont="1" applyFill="1" applyBorder="1" applyAlignment="1" applyProtection="1">
      <alignment horizontal="left" vertical="center" wrapText="1"/>
      <protection locked="0"/>
    </xf>
    <xf numFmtId="0" fontId="56" fillId="2" borderId="80" xfId="0" applyFont="1" applyFill="1" applyBorder="1" applyAlignment="1" applyProtection="1">
      <alignment horizontal="left" vertical="center" wrapText="1"/>
      <protection locked="0"/>
    </xf>
    <xf numFmtId="0" fontId="56" fillId="2" borderId="81" xfId="0" applyFont="1" applyFill="1" applyBorder="1" applyAlignment="1" applyProtection="1">
      <alignment horizontal="left" vertical="center" wrapText="1"/>
      <protection locked="0"/>
    </xf>
    <xf numFmtId="165" fontId="56" fillId="2" borderId="79" xfId="5" applyFont="1" applyFill="1" applyBorder="1" applyAlignment="1" applyProtection="1">
      <alignment horizontal="center" vertical="center"/>
      <protection locked="0"/>
    </xf>
    <xf numFmtId="165" fontId="56" fillId="2" borderId="80" xfId="5" applyFont="1" applyFill="1" applyBorder="1" applyAlignment="1" applyProtection="1">
      <alignment horizontal="center" vertical="center"/>
      <protection locked="0"/>
    </xf>
    <xf numFmtId="165" fontId="56" fillId="2" borderId="81" xfId="5" applyFont="1" applyFill="1" applyBorder="1" applyAlignment="1" applyProtection="1">
      <alignment horizontal="center" vertical="center"/>
      <protection locked="0"/>
    </xf>
    <xf numFmtId="0" fontId="58" fillId="2" borderId="79" xfId="0" applyFont="1" applyFill="1" applyBorder="1" applyAlignment="1" applyProtection="1">
      <alignment horizontal="center" vertical="center"/>
      <protection locked="0"/>
    </xf>
    <xf numFmtId="0" fontId="58" fillId="2" borderId="80" xfId="0" applyFont="1" applyFill="1" applyBorder="1" applyAlignment="1" applyProtection="1">
      <alignment horizontal="center" vertical="center"/>
      <protection locked="0"/>
    </xf>
    <xf numFmtId="0" fontId="58" fillId="2" borderId="81" xfId="0" applyFont="1" applyFill="1" applyBorder="1" applyAlignment="1" applyProtection="1">
      <alignment horizontal="center" vertical="center"/>
      <protection locked="0"/>
    </xf>
    <xf numFmtId="49" fontId="56" fillId="2" borderId="79" xfId="0" applyNumberFormat="1" applyFont="1" applyFill="1" applyBorder="1" applyAlignment="1" applyProtection="1">
      <alignment horizontal="center" vertical="center" wrapText="1"/>
      <protection locked="0"/>
    </xf>
    <xf numFmtId="49" fontId="56" fillId="2" borderId="81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79" xfId="0" applyNumberFormat="1" applyFont="1" applyFill="1" applyBorder="1" applyAlignment="1" applyProtection="1">
      <alignment horizontal="center" vertical="center"/>
      <protection locked="0"/>
    </xf>
    <xf numFmtId="10" fontId="50" fillId="0" borderId="81" xfId="0" applyNumberFormat="1" applyFont="1" applyFill="1" applyBorder="1" applyAlignment="1" applyProtection="1">
      <alignment horizontal="center" vertical="center"/>
      <protection locked="0"/>
    </xf>
    <xf numFmtId="0" fontId="56" fillId="0" borderId="22" xfId="5" applyNumberFormat="1" applyFont="1" applyFill="1" applyBorder="1" applyAlignment="1" applyProtection="1">
      <alignment horizontal="center" vertical="center"/>
      <protection locked="0"/>
    </xf>
    <xf numFmtId="49" fontId="56" fillId="0" borderId="33" xfId="5" applyNumberFormat="1" applyFont="1" applyFill="1" applyBorder="1" applyAlignment="1" applyProtection="1">
      <alignment horizontal="center" vertical="center"/>
      <protection locked="0"/>
    </xf>
    <xf numFmtId="2" fontId="56" fillId="0" borderId="0" xfId="0" applyNumberFormat="1" applyFont="1" applyFill="1" applyBorder="1" applyAlignment="1" applyProtection="1">
      <alignment horizontal="center" vertical="center"/>
    </xf>
    <xf numFmtId="2" fontId="56" fillId="0" borderId="79" xfId="5" applyNumberFormat="1" applyFont="1" applyFill="1" applyBorder="1" applyAlignment="1" applyProtection="1">
      <alignment horizontal="center" vertical="center"/>
      <protection locked="0"/>
    </xf>
    <xf numFmtId="2" fontId="56" fillId="0" borderId="81" xfId="5" applyNumberFormat="1" applyFont="1" applyFill="1" applyBorder="1" applyAlignment="1" applyProtection="1">
      <alignment horizontal="center" vertical="center"/>
      <protection locked="0"/>
    </xf>
    <xf numFmtId="10" fontId="56" fillId="0" borderId="43" xfId="0" applyNumberFormat="1" applyFont="1" applyFill="1" applyBorder="1" applyAlignment="1" applyProtection="1">
      <alignment horizontal="center" vertical="center"/>
      <protection locked="0"/>
    </xf>
    <xf numFmtId="10" fontId="56" fillId="0" borderId="82" xfId="0" applyNumberFormat="1" applyFont="1" applyFill="1" applyBorder="1" applyAlignment="1" applyProtection="1">
      <alignment horizontal="center" vertical="center"/>
      <protection locked="0"/>
    </xf>
    <xf numFmtId="0" fontId="56" fillId="0" borderId="31" xfId="0" applyFont="1" applyFill="1" applyBorder="1" applyAlignment="1" applyProtection="1">
      <alignment horizontal="center" vertical="center"/>
    </xf>
    <xf numFmtId="0" fontId="56" fillId="0" borderId="32" xfId="0" applyFont="1" applyFill="1" applyBorder="1" applyAlignment="1" applyProtection="1">
      <alignment horizontal="center" vertical="center"/>
    </xf>
    <xf numFmtId="0" fontId="56" fillId="0" borderId="38" xfId="0" applyFont="1" applyFill="1" applyBorder="1" applyAlignment="1" applyProtection="1">
      <alignment horizontal="center" vertical="center"/>
    </xf>
    <xf numFmtId="0" fontId="54" fillId="0" borderId="22" xfId="0" applyFont="1" applyFill="1" applyBorder="1" applyAlignment="1" applyProtection="1">
      <alignment horizontal="center" vertical="center" wrapText="1"/>
    </xf>
    <xf numFmtId="0" fontId="54" fillId="0" borderId="23" xfId="0" applyFont="1" applyFill="1" applyBorder="1" applyAlignment="1" applyProtection="1">
      <alignment horizontal="center" vertical="center" wrapText="1"/>
    </xf>
    <xf numFmtId="0" fontId="54" fillId="0" borderId="33" xfId="0" applyFont="1" applyFill="1" applyBorder="1" applyAlignment="1" applyProtection="1">
      <alignment horizontal="center" vertical="center" wrapText="1"/>
    </xf>
    <xf numFmtId="0" fontId="72" fillId="2" borderId="0" xfId="0" applyFont="1" applyFill="1" applyBorder="1" applyAlignment="1" applyProtection="1">
      <alignment horizontal="center" vertical="center"/>
    </xf>
    <xf numFmtId="0" fontId="56" fillId="0" borderId="9" xfId="0" applyFont="1" applyFill="1" applyBorder="1" applyAlignment="1" applyProtection="1">
      <alignment horizontal="center" vertical="center"/>
    </xf>
    <xf numFmtId="0" fontId="56" fillId="0" borderId="7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horizontal="center" vertical="center"/>
    </xf>
    <xf numFmtId="0" fontId="56" fillId="0" borderId="22" xfId="0" applyFont="1" applyFill="1" applyBorder="1" applyAlignment="1" applyProtection="1">
      <alignment horizontal="center" vertical="center"/>
      <protection locked="0"/>
    </xf>
    <xf numFmtId="0" fontId="56" fillId="0" borderId="33" xfId="0" applyFont="1" applyFill="1" applyBorder="1" applyAlignment="1" applyProtection="1">
      <alignment horizontal="center" vertical="center"/>
      <protection locked="0"/>
    </xf>
    <xf numFmtId="0" fontId="71" fillId="2" borderId="9" xfId="0" applyFont="1" applyFill="1" applyBorder="1" applyAlignment="1" applyProtection="1">
      <alignment horizontal="center" vertical="center"/>
    </xf>
    <xf numFmtId="0" fontId="67" fillId="2" borderId="31" xfId="0" applyFont="1" applyFill="1" applyBorder="1" applyAlignment="1" applyProtection="1">
      <alignment horizontal="center" vertical="center"/>
    </xf>
    <xf numFmtId="0" fontId="67" fillId="2" borderId="32" xfId="0" applyFont="1" applyFill="1" applyBorder="1" applyAlignment="1" applyProtection="1">
      <alignment horizontal="center" vertical="center"/>
    </xf>
    <xf numFmtId="0" fontId="67" fillId="2" borderId="38" xfId="0" applyFont="1" applyFill="1" applyBorder="1" applyAlignment="1" applyProtection="1">
      <alignment horizontal="center" vertical="center"/>
    </xf>
    <xf numFmtId="0" fontId="72" fillId="2" borderId="9" xfId="0" applyFont="1" applyFill="1" applyBorder="1" applyAlignment="1" applyProtection="1">
      <alignment horizontal="center" vertical="center"/>
    </xf>
    <xf numFmtId="0" fontId="71" fillId="2" borderId="0" xfId="0" applyFont="1" applyFill="1" applyBorder="1" applyAlignment="1" applyProtection="1">
      <alignment horizontal="center" vertical="center"/>
    </xf>
    <xf numFmtId="0" fontId="92" fillId="2" borderId="88" xfId="0" applyFont="1" applyFill="1" applyBorder="1" applyAlignment="1">
      <alignment horizontal="right" vertical="center" wrapText="1"/>
    </xf>
    <xf numFmtId="0" fontId="92" fillId="2" borderId="89" xfId="0" applyFont="1" applyFill="1" applyBorder="1" applyAlignment="1">
      <alignment horizontal="right" vertical="center" wrapText="1"/>
    </xf>
    <xf numFmtId="0" fontId="92" fillId="2" borderId="90" xfId="0" applyFont="1" applyFill="1" applyBorder="1" applyAlignment="1">
      <alignment horizontal="right" vertical="center" wrapText="1"/>
    </xf>
    <xf numFmtId="0" fontId="92" fillId="2" borderId="0" xfId="0" applyFont="1" applyFill="1" applyBorder="1" applyAlignment="1">
      <alignment horizontal="center" vertical="center"/>
    </xf>
    <xf numFmtId="0" fontId="92" fillId="2" borderId="91" xfId="0" applyFont="1" applyFill="1" applyBorder="1" applyAlignment="1" applyProtection="1">
      <alignment horizontal="right" vertical="center" wrapText="1"/>
    </xf>
    <xf numFmtId="0" fontId="92" fillId="2" borderId="55" xfId="0" applyFont="1" applyFill="1" applyBorder="1" applyAlignment="1" applyProtection="1">
      <alignment horizontal="right" vertical="center" wrapText="1"/>
    </xf>
    <xf numFmtId="0" fontId="92" fillId="2" borderId="92" xfId="0" applyFont="1" applyFill="1" applyBorder="1" applyAlignment="1" applyProtection="1">
      <alignment horizontal="right" vertical="center" wrapText="1"/>
    </xf>
    <xf numFmtId="0" fontId="78" fillId="2" borderId="69" xfId="0" applyFont="1" applyFill="1" applyBorder="1" applyAlignment="1">
      <alignment horizontal="center" vertical="center"/>
    </xf>
    <xf numFmtId="0" fontId="78" fillId="2" borderId="70" xfId="0" applyFont="1" applyFill="1" applyBorder="1" applyAlignment="1">
      <alignment horizontal="center" vertical="center"/>
    </xf>
    <xf numFmtId="0" fontId="78" fillId="2" borderId="73" xfId="0" applyFont="1" applyFill="1" applyBorder="1" applyAlignment="1">
      <alignment horizontal="center" vertical="center"/>
    </xf>
    <xf numFmtId="0" fontId="62" fillId="2" borderId="71" xfId="0" applyFont="1" applyFill="1" applyBorder="1" applyAlignment="1">
      <alignment horizontal="center" vertical="center"/>
    </xf>
    <xf numFmtId="0" fontId="62" fillId="2" borderId="83" xfId="0" applyFont="1" applyFill="1" applyBorder="1" applyAlignment="1">
      <alignment horizontal="center" vertical="center"/>
    </xf>
    <xf numFmtId="0" fontId="62" fillId="2" borderId="84" xfId="0" applyFont="1" applyFill="1" applyBorder="1" applyAlignment="1">
      <alignment horizontal="center" vertical="center"/>
    </xf>
    <xf numFmtId="0" fontId="92" fillId="2" borderId="85" xfId="0" applyFont="1" applyFill="1" applyBorder="1" applyAlignment="1" applyProtection="1">
      <alignment horizontal="right" vertical="center" wrapText="1"/>
    </xf>
    <xf numFmtId="0" fontId="92" fillId="2" borderId="86" xfId="0" applyFont="1" applyFill="1" applyBorder="1" applyAlignment="1" applyProtection="1">
      <alignment horizontal="right" vertical="center" wrapText="1"/>
    </xf>
    <xf numFmtId="0" fontId="92" fillId="2" borderId="87" xfId="0" applyFont="1" applyFill="1" applyBorder="1" applyAlignment="1" applyProtection="1">
      <alignment horizontal="right" vertical="center" wrapText="1"/>
    </xf>
    <xf numFmtId="0" fontId="62" fillId="2" borderId="68" xfId="0" applyFont="1" applyFill="1" applyBorder="1" applyAlignment="1">
      <alignment horizontal="center" vertical="center"/>
    </xf>
    <xf numFmtId="0" fontId="62" fillId="2" borderId="59" xfId="0" applyFont="1" applyFill="1" applyBorder="1" applyAlignment="1">
      <alignment horizontal="center" vertical="center"/>
    </xf>
    <xf numFmtId="0" fontId="62" fillId="2" borderId="68" xfId="0" applyFont="1" applyFill="1" applyBorder="1" applyAlignment="1">
      <alignment horizontal="center" vertical="center" wrapText="1"/>
    </xf>
    <xf numFmtId="0" fontId="62" fillId="2" borderId="59" xfId="0" applyFont="1" applyFill="1" applyBorder="1" applyAlignment="1">
      <alignment horizontal="center" vertical="center" wrapText="1"/>
    </xf>
    <xf numFmtId="49" fontId="62" fillId="3" borderId="43" xfId="0" applyNumberFormat="1" applyFont="1" applyFill="1" applyBorder="1" applyAlignment="1" applyProtection="1">
      <alignment horizontal="center" vertical="center"/>
      <protection locked="0"/>
    </xf>
    <xf numFmtId="49" fontId="62" fillId="3" borderId="41" xfId="0" applyNumberFormat="1" applyFont="1" applyFill="1" applyBorder="1" applyAlignment="1" applyProtection="1">
      <alignment horizontal="center" vertical="center"/>
      <protection locked="0"/>
    </xf>
    <xf numFmtId="49" fontId="62" fillId="3" borderId="4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 wrapText="1"/>
    </xf>
    <xf numFmtId="49" fontId="62" fillId="3" borderId="43" xfId="0" applyNumberFormat="1" applyFont="1" applyFill="1" applyBorder="1" applyAlignment="1" applyProtection="1">
      <alignment horizontal="center" vertical="center"/>
    </xf>
    <xf numFmtId="49" fontId="62" fillId="3" borderId="41" xfId="0" applyNumberFormat="1" applyFont="1" applyFill="1" applyBorder="1" applyAlignment="1" applyProtection="1">
      <alignment horizontal="center" vertical="center"/>
    </xf>
    <xf numFmtId="49" fontId="62" fillId="3" borderId="42" xfId="0" applyNumberFormat="1" applyFont="1" applyFill="1" applyBorder="1" applyAlignment="1" applyProtection="1">
      <alignment horizontal="center" vertical="center"/>
    </xf>
    <xf numFmtId="49" fontId="54" fillId="3" borderId="43" xfId="0" applyNumberFormat="1" applyFont="1" applyFill="1" applyBorder="1" applyAlignment="1" applyProtection="1">
      <alignment horizontal="center" vertical="center"/>
    </xf>
    <xf numFmtId="49" fontId="54" fillId="3" borderId="41" xfId="0" applyNumberFormat="1" applyFont="1" applyFill="1" applyBorder="1" applyAlignment="1" applyProtection="1">
      <alignment horizontal="center" vertical="center"/>
    </xf>
    <xf numFmtId="49" fontId="54" fillId="3" borderId="42" xfId="0" applyNumberFormat="1" applyFont="1" applyFill="1" applyBorder="1" applyAlignment="1" applyProtection="1">
      <alignment horizontal="center" vertical="center"/>
    </xf>
    <xf numFmtId="0" fontId="96" fillId="2" borderId="0" xfId="0" applyNumberFormat="1" applyFont="1" applyFill="1" applyAlignment="1" applyProtection="1">
      <alignment horizontal="justify" vertical="center" wrapText="1"/>
    </xf>
    <xf numFmtId="1" fontId="96" fillId="2" borderId="93" xfId="0" applyNumberFormat="1" applyFont="1" applyFill="1" applyBorder="1" applyAlignment="1" applyProtection="1">
      <alignment horizontal="center" vertical="center" wrapText="1"/>
      <protection locked="0"/>
    </xf>
    <xf numFmtId="1" fontId="96" fillId="2" borderId="94" xfId="0" applyNumberFormat="1" applyFont="1" applyFill="1" applyBorder="1" applyAlignment="1" applyProtection="1">
      <alignment horizontal="center" vertical="center" wrapText="1"/>
      <protection locked="0"/>
    </xf>
    <xf numFmtId="1" fontId="96" fillId="2" borderId="95" xfId="0" applyNumberFormat="1" applyFont="1" applyFill="1" applyBorder="1" applyAlignment="1" applyProtection="1">
      <alignment horizontal="center" vertical="center" wrapText="1"/>
      <protection locked="0"/>
    </xf>
    <xf numFmtId="1" fontId="96" fillId="2" borderId="96" xfId="0" applyNumberFormat="1" applyFont="1" applyFill="1" applyBorder="1" applyAlignment="1" applyProtection="1">
      <alignment horizontal="center" vertical="center" wrapText="1"/>
      <protection locked="0"/>
    </xf>
    <xf numFmtId="0" fontId="52" fillId="2" borderId="97" xfId="0" applyFont="1" applyFill="1" applyBorder="1" applyAlignment="1" applyProtection="1">
      <alignment horizontal="right" vertical="center" wrapText="1"/>
    </xf>
    <xf numFmtId="0" fontId="52" fillId="2" borderId="98" xfId="0" applyFont="1" applyFill="1" applyBorder="1" applyAlignment="1" applyProtection="1">
      <alignment horizontal="right" vertical="center" wrapText="1"/>
    </xf>
    <xf numFmtId="0" fontId="50" fillId="2" borderId="43" xfId="0" applyFont="1" applyFill="1" applyBorder="1" applyAlignment="1" applyProtection="1">
      <alignment horizontal="center" vertical="center"/>
    </xf>
    <xf numFmtId="0" fontId="50" fillId="2" borderId="41" xfId="0" applyFont="1" applyFill="1" applyBorder="1" applyAlignment="1" applyProtection="1">
      <alignment horizontal="center" vertical="center"/>
    </xf>
    <xf numFmtId="0" fontId="50" fillId="2" borderId="42" xfId="0" applyFont="1" applyFill="1" applyBorder="1" applyAlignment="1" applyProtection="1">
      <alignment horizontal="center" vertical="center"/>
    </xf>
    <xf numFmtId="165" fontId="96" fillId="2" borderId="93" xfId="5" applyFont="1" applyFill="1" applyBorder="1" applyAlignment="1" applyProtection="1">
      <alignment horizontal="center" vertical="center" wrapText="1"/>
    </xf>
    <xf numFmtId="165" fontId="96" fillId="2" borderId="99" xfId="5" applyFont="1" applyFill="1" applyBorder="1" applyAlignment="1" applyProtection="1">
      <alignment horizontal="center" vertical="center" wrapText="1"/>
    </xf>
    <xf numFmtId="165" fontId="96" fillId="2" borderId="95" xfId="5" applyFont="1" applyFill="1" applyBorder="1" applyAlignment="1" applyProtection="1">
      <alignment horizontal="center" vertical="center" wrapText="1"/>
    </xf>
    <xf numFmtId="165" fontId="96" fillId="2" borderId="100" xfId="5" applyFont="1" applyFill="1" applyBorder="1" applyAlignment="1" applyProtection="1">
      <alignment horizontal="center" vertical="center" wrapText="1"/>
    </xf>
    <xf numFmtId="1" fontId="98" fillId="2" borderId="101" xfId="0" applyNumberFormat="1" applyFont="1" applyFill="1" applyBorder="1" applyAlignment="1" applyProtection="1">
      <alignment horizontal="center" vertical="center" wrapText="1"/>
      <protection locked="0"/>
    </xf>
    <xf numFmtId="1" fontId="98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Font="1" applyFill="1" applyBorder="1" applyAlignment="1" applyProtection="1">
      <alignment horizontal="center" vertical="center"/>
      <protection locked="0"/>
    </xf>
    <xf numFmtId="0" fontId="50" fillId="0" borderId="41" xfId="0" applyFont="1" applyFill="1" applyBorder="1" applyAlignment="1" applyProtection="1">
      <alignment horizontal="center" vertical="center"/>
      <protection locked="0"/>
    </xf>
    <xf numFmtId="0" fontId="50" fillId="0" borderId="42" xfId="0" applyFont="1" applyFill="1" applyBorder="1" applyAlignment="1" applyProtection="1">
      <alignment horizontal="center" vertical="center"/>
      <protection locked="0"/>
    </xf>
    <xf numFmtId="0" fontId="47" fillId="0" borderId="43" xfId="0" applyFont="1" applyFill="1" applyBorder="1" applyAlignment="1" applyProtection="1">
      <alignment horizontal="center" vertical="center"/>
    </xf>
    <xf numFmtId="0" fontId="47" fillId="0" borderId="41" xfId="0" applyFont="1" applyFill="1" applyBorder="1" applyAlignment="1" applyProtection="1">
      <alignment horizontal="center" vertical="center"/>
    </xf>
    <xf numFmtId="0" fontId="47" fillId="0" borderId="42" xfId="0" applyFont="1" applyFill="1" applyBorder="1" applyAlignment="1" applyProtection="1">
      <alignment horizontal="center" vertical="center"/>
    </xf>
    <xf numFmtId="0" fontId="50" fillId="0" borderId="43" xfId="0" applyFont="1" applyFill="1" applyBorder="1" applyAlignment="1" applyProtection="1">
      <alignment horizontal="center" vertical="center"/>
    </xf>
    <xf numFmtId="0" fontId="50" fillId="0" borderId="41" xfId="0" applyFont="1" applyFill="1" applyBorder="1" applyAlignment="1" applyProtection="1">
      <alignment horizontal="center" vertical="center"/>
    </xf>
    <xf numFmtId="0" fontId="50" fillId="0" borderId="42" xfId="0" applyFont="1" applyFill="1" applyBorder="1" applyAlignment="1" applyProtection="1">
      <alignment horizontal="center" vertical="center"/>
    </xf>
    <xf numFmtId="1" fontId="50" fillId="0" borderId="56" xfId="0" applyNumberFormat="1" applyFont="1" applyFill="1" applyBorder="1" applyAlignment="1" applyProtection="1">
      <alignment horizontal="center" vertical="center"/>
      <protection locked="0"/>
    </xf>
    <xf numFmtId="1" fontId="50" fillId="0" borderId="55" xfId="0" applyNumberFormat="1" applyFont="1" applyFill="1" applyBorder="1" applyAlignment="1" applyProtection="1">
      <alignment horizontal="center" vertical="center"/>
      <protection locked="0"/>
    </xf>
    <xf numFmtId="1" fontId="50" fillId="0" borderId="57" xfId="0" applyNumberFormat="1" applyFont="1" applyFill="1" applyBorder="1" applyAlignment="1" applyProtection="1">
      <alignment horizontal="center" vertical="center"/>
      <protection locked="0"/>
    </xf>
    <xf numFmtId="0" fontId="50" fillId="2" borderId="12" xfId="0" applyFont="1" applyFill="1" applyBorder="1" applyAlignment="1" applyProtection="1">
      <alignment horizontal="justify" vertical="center" wrapText="1"/>
    </xf>
    <xf numFmtId="0" fontId="84" fillId="2" borderId="9" xfId="0" applyFont="1" applyFill="1" applyBorder="1" applyAlignment="1" applyProtection="1">
      <alignment horizontal="justify" vertical="center" wrapText="1"/>
    </xf>
    <xf numFmtId="0" fontId="84" fillId="2" borderId="10" xfId="0" applyFont="1" applyFill="1" applyBorder="1" applyAlignment="1" applyProtection="1">
      <alignment horizontal="justify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88" fillId="3" borderId="43" xfId="0" applyFont="1" applyFill="1" applyBorder="1" applyAlignment="1" applyProtection="1">
      <alignment horizontal="center" vertical="center" wrapText="1"/>
    </xf>
    <xf numFmtId="0" fontId="88" fillId="3" borderId="41" xfId="0" applyFont="1" applyFill="1" applyBorder="1" applyAlignment="1" applyProtection="1">
      <alignment horizontal="center" vertical="center" wrapText="1"/>
    </xf>
    <xf numFmtId="0" fontId="50" fillId="2" borderId="31" xfId="0" applyFont="1" applyFill="1" applyBorder="1" applyAlignment="1" applyProtection="1">
      <alignment horizontal="justify" vertical="center" wrapText="1"/>
    </xf>
    <xf numFmtId="0" fontId="84" fillId="2" borderId="32" xfId="0" applyFont="1" applyFill="1" applyBorder="1" applyAlignment="1" applyProtection="1">
      <alignment horizontal="justify" vertical="center" wrapText="1"/>
    </xf>
    <xf numFmtId="0" fontId="84" fillId="2" borderId="38" xfId="0" applyFont="1" applyFill="1" applyBorder="1" applyAlignment="1" applyProtection="1">
      <alignment horizontal="justify" vertical="center" wrapText="1"/>
    </xf>
    <xf numFmtId="0" fontId="85" fillId="3" borderId="0" xfId="0" applyFont="1" applyFill="1" applyBorder="1" applyAlignment="1" applyProtection="1">
      <alignment horizontal="left" vertical="center" wrapText="1"/>
    </xf>
    <xf numFmtId="0" fontId="85" fillId="3" borderId="104" xfId="0" applyFont="1" applyFill="1" applyBorder="1" applyAlignment="1" applyProtection="1">
      <alignment horizontal="left" vertical="center" wrapText="1"/>
    </xf>
    <xf numFmtId="10" fontId="63" fillId="3" borderId="17" xfId="0" applyNumberFormat="1" applyFont="1" applyFill="1" applyBorder="1" applyAlignment="1" applyProtection="1">
      <alignment horizontal="center" vertical="center" wrapText="1"/>
    </xf>
    <xf numFmtId="10" fontId="63" fillId="3" borderId="103" xfId="0" applyNumberFormat="1" applyFont="1" applyFill="1" applyBorder="1" applyAlignment="1" applyProtection="1">
      <alignment horizontal="center" vertical="center" wrapText="1"/>
    </xf>
    <xf numFmtId="0" fontId="84" fillId="3" borderId="43" xfId="0" applyFont="1" applyFill="1" applyBorder="1" applyAlignment="1" applyProtection="1">
      <alignment horizontal="center" vertical="center" wrapText="1"/>
    </xf>
    <xf numFmtId="0" fontId="84" fillId="3" borderId="41" xfId="0" applyFont="1" applyFill="1" applyBorder="1" applyAlignment="1" applyProtection="1">
      <alignment horizontal="center" vertical="center" wrapText="1"/>
    </xf>
    <xf numFmtId="0" fontId="84" fillId="3" borderId="42" xfId="0" applyFont="1" applyFill="1" applyBorder="1" applyAlignment="1" applyProtection="1">
      <alignment horizontal="center" vertical="center" wrapText="1"/>
    </xf>
    <xf numFmtId="0" fontId="86" fillId="3" borderId="0" xfId="0" applyFont="1" applyFill="1" applyBorder="1" applyAlignment="1" applyProtection="1">
      <alignment horizontal="left" vertical="center" wrapText="1"/>
    </xf>
    <xf numFmtId="0" fontId="84" fillId="3" borderId="0" xfId="0" applyFont="1" applyFill="1" applyBorder="1" applyAlignment="1" applyProtection="1">
      <alignment horizontal="center" vertical="center" wrapText="1"/>
    </xf>
    <xf numFmtId="0" fontId="85" fillId="3" borderId="42" xfId="0" applyFont="1" applyFill="1" applyBorder="1" applyAlignment="1" applyProtection="1">
      <alignment horizontal="center" vertical="center" wrapText="1"/>
    </xf>
    <xf numFmtId="0" fontId="50" fillId="3" borderId="43" xfId="0" applyFont="1" applyFill="1" applyBorder="1" applyAlignment="1" applyProtection="1">
      <alignment horizontal="center" vertical="center"/>
    </xf>
    <xf numFmtId="0" fontId="50" fillId="3" borderId="42" xfId="0" applyFont="1" applyFill="1" applyBorder="1" applyAlignment="1" applyProtection="1">
      <alignment horizontal="center" vertical="center"/>
    </xf>
    <xf numFmtId="0" fontId="89" fillId="3" borderId="0" xfId="0" applyFont="1" applyFill="1" applyBorder="1" applyAlignment="1" applyProtection="1">
      <alignment vertical="center" wrapText="1"/>
    </xf>
    <xf numFmtId="0" fontId="92" fillId="3" borderId="0" xfId="0" applyFont="1" applyFill="1" applyBorder="1" applyAlignment="1" applyProtection="1">
      <alignment horizontal="center" vertical="center" wrapText="1"/>
    </xf>
    <xf numFmtId="0" fontId="96" fillId="3" borderId="43" xfId="0" applyFont="1" applyFill="1" applyBorder="1" applyAlignment="1" applyProtection="1">
      <alignment horizontal="center" vertical="center"/>
    </xf>
    <xf numFmtId="0" fontId="96" fillId="3" borderId="42" xfId="0" applyFont="1" applyFill="1" applyBorder="1" applyAlignment="1" applyProtection="1">
      <alignment horizontal="center" vertical="center"/>
    </xf>
    <xf numFmtId="0" fontId="96" fillId="3" borderId="43" xfId="0" applyFont="1" applyFill="1" applyBorder="1" applyAlignment="1" applyProtection="1">
      <alignment horizontal="center" vertical="center" wrapText="1"/>
    </xf>
    <xf numFmtId="0" fontId="96" fillId="3" borderId="42" xfId="0" applyFont="1" applyFill="1" applyBorder="1" applyAlignment="1" applyProtection="1">
      <alignment horizontal="center" vertical="center" wrapText="1"/>
    </xf>
    <xf numFmtId="0" fontId="50" fillId="2" borderId="0" xfId="0" applyFont="1" applyFill="1" applyAlignment="1" applyProtection="1">
      <alignment horizontal="center" vertical="center"/>
    </xf>
    <xf numFmtId="0" fontId="41" fillId="2" borderId="0" xfId="0" applyNumberFormat="1" applyFont="1" applyFill="1" applyAlignment="1" applyProtection="1">
      <alignment horizontal="justify" vertical="center" wrapText="1"/>
    </xf>
    <xf numFmtId="1" fontId="61" fillId="2" borderId="43" xfId="0" applyNumberFormat="1" applyFont="1" applyFill="1" applyBorder="1" applyAlignment="1" applyProtection="1">
      <alignment horizontal="center" vertical="center"/>
    </xf>
    <xf numFmtId="1" fontId="61" fillId="2" borderId="42" xfId="0" applyNumberFormat="1" applyFont="1" applyFill="1" applyBorder="1" applyAlignment="1" applyProtection="1">
      <alignment horizontal="center" vertical="center"/>
    </xf>
    <xf numFmtId="0" fontId="50" fillId="2" borderId="15" xfId="0" applyFont="1" applyFill="1" applyBorder="1" applyAlignment="1" applyProtection="1">
      <alignment horizontal="left" vertical="center"/>
    </xf>
    <xf numFmtId="0" fontId="50" fillId="2" borderId="13" xfId="0" applyFont="1" applyFill="1" applyBorder="1" applyAlignment="1" applyProtection="1">
      <alignment horizontal="left" vertical="center"/>
    </xf>
    <xf numFmtId="0" fontId="96" fillId="2" borderId="43" xfId="0" applyFont="1" applyFill="1" applyBorder="1" applyAlignment="1" applyProtection="1">
      <alignment horizontal="center" vertical="center" wrapText="1"/>
    </xf>
    <xf numFmtId="0" fontId="96" fillId="2" borderId="41" xfId="0" applyFont="1" applyFill="1" applyBorder="1" applyAlignment="1" applyProtection="1">
      <alignment horizontal="center" vertical="center" wrapText="1"/>
    </xf>
    <xf numFmtId="0" fontId="96" fillId="2" borderId="42" xfId="0" applyFont="1" applyFill="1" applyBorder="1" applyAlignment="1" applyProtection="1">
      <alignment horizontal="center" vertical="center" wrapText="1"/>
    </xf>
    <xf numFmtId="4" fontId="101" fillId="2" borderId="15" xfId="0" applyNumberFormat="1" applyFont="1" applyFill="1" applyBorder="1" applyAlignment="1" applyProtection="1">
      <alignment horizontal="center" vertical="center"/>
    </xf>
    <xf numFmtId="4" fontId="101" fillId="2" borderId="13" xfId="0" applyNumberFormat="1" applyFont="1" applyFill="1" applyBorder="1" applyAlignment="1" applyProtection="1">
      <alignment horizontal="center" vertical="center"/>
    </xf>
    <xf numFmtId="165" fontId="63" fillId="2" borderId="15" xfId="0" applyNumberFormat="1" applyFont="1" applyFill="1" applyBorder="1" applyAlignment="1" applyProtection="1">
      <alignment horizontal="center" vertical="center"/>
    </xf>
    <xf numFmtId="165" fontId="63" fillId="2" borderId="13" xfId="0" applyNumberFormat="1" applyFont="1" applyFill="1" applyBorder="1" applyAlignment="1" applyProtection="1">
      <alignment horizontal="center" vertical="center"/>
    </xf>
    <xf numFmtId="0" fontId="63" fillId="3" borderId="43" xfId="0" applyFont="1" applyFill="1" applyBorder="1" applyAlignment="1" applyProtection="1">
      <alignment horizontal="center" vertical="center" wrapText="1"/>
    </xf>
    <xf numFmtId="0" fontId="63" fillId="3" borderId="41" xfId="0" applyFont="1" applyFill="1" applyBorder="1" applyAlignment="1" applyProtection="1">
      <alignment horizontal="center" vertical="center" wrapText="1"/>
    </xf>
    <xf numFmtId="0" fontId="63" fillId="3" borderId="105" xfId="0" applyFont="1" applyFill="1" applyBorder="1" applyAlignment="1" applyProtection="1">
      <alignment horizontal="center" vertical="center" wrapText="1"/>
    </xf>
    <xf numFmtId="0" fontId="47" fillId="3" borderId="43" xfId="0" applyFont="1" applyFill="1" applyBorder="1" applyAlignment="1" applyProtection="1">
      <alignment horizontal="center" vertical="center"/>
    </xf>
    <xf numFmtId="0" fontId="47" fillId="3" borderId="41" xfId="0" applyFont="1" applyFill="1" applyBorder="1" applyAlignment="1" applyProtection="1">
      <alignment horizontal="center" vertical="center"/>
    </xf>
    <xf numFmtId="0" fontId="47" fillId="3" borderId="105" xfId="0" applyFont="1" applyFill="1" applyBorder="1" applyAlignment="1" applyProtection="1">
      <alignment horizontal="center" vertical="center"/>
    </xf>
    <xf numFmtId="0" fontId="50" fillId="3" borderId="43" xfId="0" applyFont="1" applyFill="1" applyBorder="1" applyAlignment="1" applyProtection="1">
      <alignment horizontal="center" vertical="center" wrapText="1"/>
    </xf>
    <xf numFmtId="0" fontId="50" fillId="3" borderId="41" xfId="0" applyFont="1" applyFill="1" applyBorder="1" applyAlignment="1" applyProtection="1">
      <alignment horizontal="center" vertical="center" wrapText="1"/>
    </xf>
    <xf numFmtId="0" fontId="50" fillId="3" borderId="42" xfId="0" applyFont="1" applyFill="1" applyBorder="1" applyAlignment="1" applyProtection="1">
      <alignment horizontal="center" vertical="center" wrapText="1"/>
    </xf>
    <xf numFmtId="0" fontId="50" fillId="3" borderId="0" xfId="0" applyFont="1" applyFill="1" applyBorder="1" applyAlignment="1" applyProtection="1">
      <alignment horizontal="left" vertical="center" wrapText="1"/>
    </xf>
    <xf numFmtId="0" fontId="74" fillId="3" borderId="43" xfId="0" applyFont="1" applyFill="1" applyBorder="1" applyAlignment="1" applyProtection="1">
      <alignment horizontal="center" vertical="center" wrapText="1"/>
    </xf>
    <xf numFmtId="0" fontId="74" fillId="3" borderId="41" xfId="0" applyFont="1" applyFill="1" applyBorder="1" applyAlignment="1" applyProtection="1">
      <alignment horizontal="center" vertical="center" wrapText="1"/>
    </xf>
    <xf numFmtId="0" fontId="50" fillId="3" borderId="15" xfId="0" applyFont="1" applyFill="1" applyBorder="1" applyAlignment="1" applyProtection="1">
      <alignment horizontal="center" vertical="center" wrapText="1"/>
    </xf>
    <xf numFmtId="0" fontId="50" fillId="3" borderId="13" xfId="0" applyFont="1" applyFill="1" applyBorder="1" applyAlignment="1" applyProtection="1">
      <alignment horizontal="center" vertical="center" wrapText="1"/>
    </xf>
    <xf numFmtId="165" fontId="20" fillId="2" borderId="0" xfId="0" applyNumberFormat="1" applyFont="1" applyFill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165" fontId="50" fillId="2" borderId="24" xfId="5" applyFont="1" applyFill="1" applyBorder="1" applyAlignment="1" applyProtection="1">
      <alignment horizontal="center" vertical="center" wrapText="1"/>
    </xf>
    <xf numFmtId="2" fontId="26" fillId="2" borderId="22" xfId="5" applyNumberFormat="1" applyFont="1" applyFill="1" applyBorder="1" applyAlignment="1" applyProtection="1">
      <alignment horizontal="right" vertical="center" wrapText="1"/>
    </xf>
    <xf numFmtId="2" fontId="26" fillId="2" borderId="23" xfId="5" applyNumberFormat="1" applyFont="1" applyFill="1" applyBorder="1" applyAlignment="1" applyProtection="1">
      <alignment horizontal="right" vertical="center" wrapText="1"/>
    </xf>
    <xf numFmtId="0" fontId="19" fillId="2" borderId="22" xfId="0" applyFont="1" applyFill="1" applyBorder="1" applyAlignment="1" applyProtection="1">
      <alignment horizontal="right" vertical="center" wrapText="1"/>
    </xf>
    <xf numFmtId="0" fontId="20" fillId="2" borderId="23" xfId="0" applyFont="1" applyFill="1" applyBorder="1" applyAlignment="1" applyProtection="1">
      <alignment horizontal="right" vertical="center" wrapText="1"/>
    </xf>
    <xf numFmtId="0" fontId="78" fillId="2" borderId="22" xfId="0" applyFont="1" applyFill="1" applyBorder="1" applyAlignment="1" applyProtection="1">
      <alignment horizontal="left" vertical="center"/>
    </xf>
    <xf numFmtId="0" fontId="78" fillId="2" borderId="23" xfId="0" applyFont="1" applyFill="1" applyBorder="1" applyAlignment="1" applyProtection="1">
      <alignment horizontal="left" vertical="center"/>
    </xf>
    <xf numFmtId="0" fontId="78" fillId="2" borderId="33" xfId="0" applyFont="1" applyFill="1" applyBorder="1" applyAlignment="1" applyProtection="1">
      <alignment horizontal="left" vertical="center"/>
    </xf>
    <xf numFmtId="169" fontId="7" fillId="2" borderId="11" xfId="0" applyNumberFormat="1" applyFont="1" applyFill="1" applyBorder="1" applyAlignment="1" applyProtection="1">
      <alignment horizontal="center" vertical="center" wrapText="1"/>
    </xf>
    <xf numFmtId="169" fontId="7" fillId="2" borderId="0" xfId="0" applyNumberFormat="1" applyFont="1" applyFill="1" applyBorder="1" applyAlignment="1" applyProtection="1">
      <alignment horizontal="center" vertical="center" wrapText="1"/>
    </xf>
    <xf numFmtId="169" fontId="7" fillId="2" borderId="8" xfId="0" applyNumberFormat="1" applyFont="1" applyFill="1" applyBorder="1" applyAlignment="1" applyProtection="1">
      <alignment horizontal="center" vertical="center" wrapText="1"/>
    </xf>
    <xf numFmtId="0" fontId="61" fillId="2" borderId="22" xfId="0" applyFont="1" applyFill="1" applyBorder="1" applyAlignment="1" applyProtection="1">
      <alignment horizontal="right" vertical="center" wrapText="1"/>
    </xf>
    <xf numFmtId="0" fontId="61" fillId="2" borderId="23" xfId="0" applyFont="1" applyFill="1" applyBorder="1" applyAlignment="1" applyProtection="1">
      <alignment horizontal="right" vertical="center" wrapText="1"/>
    </xf>
    <xf numFmtId="0" fontId="61" fillId="2" borderId="33" xfId="0" applyFont="1" applyFill="1" applyBorder="1" applyAlignment="1" applyProtection="1">
      <alignment horizontal="right" vertical="center" wrapText="1"/>
    </xf>
    <xf numFmtId="0" fontId="62" fillId="2" borderId="22" xfId="0" applyFont="1" applyFill="1" applyBorder="1" applyAlignment="1" applyProtection="1">
      <alignment horizontal="center" vertical="center" wrapText="1"/>
    </xf>
    <xf numFmtId="0" fontId="62" fillId="2" borderId="33" xfId="0" applyFont="1" applyFill="1" applyBorder="1" applyAlignment="1" applyProtection="1">
      <alignment horizontal="center" vertical="center" wrapText="1"/>
    </xf>
    <xf numFmtId="0" fontId="78" fillId="2" borderId="22" xfId="0" applyFont="1" applyFill="1" applyBorder="1" applyAlignment="1" applyProtection="1">
      <alignment horizontal="left" vertical="center" wrapText="1"/>
    </xf>
    <xf numFmtId="0" fontId="78" fillId="2" borderId="23" xfId="0" applyFont="1" applyFill="1" applyBorder="1" applyAlignment="1" applyProtection="1">
      <alignment horizontal="left" vertical="center" wrapText="1"/>
    </xf>
    <xf numFmtId="0" fontId="78" fillId="2" borderId="33" xfId="0" applyFont="1" applyFill="1" applyBorder="1" applyAlignment="1" applyProtection="1">
      <alignment horizontal="left" vertical="center" wrapText="1"/>
    </xf>
    <xf numFmtId="165" fontId="20" fillId="2" borderId="0" xfId="5" applyFont="1" applyFill="1" applyAlignment="1" applyProtection="1">
      <alignment horizontal="center" vertical="center"/>
    </xf>
    <xf numFmtId="167" fontId="20" fillId="2" borderId="0" xfId="0" applyNumberFormat="1" applyFont="1" applyFill="1" applyAlignment="1" applyProtection="1">
      <alignment horizontal="center" vertical="center"/>
    </xf>
    <xf numFmtId="0" fontId="62" fillId="2" borderId="37" xfId="0" applyFont="1" applyFill="1" applyBorder="1" applyAlignment="1" applyProtection="1">
      <alignment vertical="center"/>
    </xf>
    <xf numFmtId="0" fontId="78" fillId="2" borderId="24" xfId="0" applyFont="1" applyFill="1" applyBorder="1" applyAlignment="1" applyProtection="1">
      <alignment vertical="center"/>
    </xf>
    <xf numFmtId="0" fontId="78" fillId="2" borderId="40" xfId="0" applyFont="1" applyFill="1" applyBorder="1" applyAlignment="1" applyProtection="1">
      <alignment vertical="center"/>
    </xf>
    <xf numFmtId="169" fontId="61" fillId="2" borderId="9" xfId="0" applyNumberFormat="1" applyFont="1" applyFill="1" applyBorder="1" applyAlignment="1" applyProtection="1">
      <alignment horizontal="right" vertical="center" wrapText="1"/>
    </xf>
    <xf numFmtId="0" fontId="81" fillId="2" borderId="24" xfId="0" applyFont="1" applyFill="1" applyBorder="1" applyAlignment="1" applyProtection="1">
      <alignment horizontal="center" vertical="center" wrapText="1"/>
    </xf>
    <xf numFmtId="10" fontId="97" fillId="2" borderId="22" xfId="0" applyNumberFormat="1" applyFont="1" applyFill="1" applyBorder="1" applyAlignment="1" applyProtection="1">
      <alignment horizontal="center" vertical="center" wrapText="1"/>
    </xf>
    <xf numFmtId="10" fontId="97" fillId="2" borderId="33" xfId="0" applyNumberFormat="1" applyFont="1" applyFill="1" applyBorder="1" applyAlignment="1" applyProtection="1">
      <alignment horizontal="center" vertical="center" wrapText="1"/>
    </xf>
    <xf numFmtId="0" fontId="50" fillId="2" borderId="22" xfId="0" applyFont="1" applyFill="1" applyBorder="1" applyAlignment="1" applyProtection="1">
      <alignment horizontal="right" vertical="center" wrapText="1"/>
    </xf>
    <xf numFmtId="0" fontId="50" fillId="2" borderId="23" xfId="0" applyFont="1" applyFill="1" applyBorder="1" applyAlignment="1" applyProtection="1">
      <alignment horizontal="right" vertical="center" wrapText="1"/>
    </xf>
    <xf numFmtId="0" fontId="50" fillId="2" borderId="37" xfId="0" applyFont="1" applyFill="1" applyBorder="1" applyAlignment="1" applyProtection="1">
      <alignment horizontal="left" vertical="center"/>
    </xf>
    <xf numFmtId="0" fontId="50" fillId="2" borderId="24" xfId="0" applyFont="1" applyFill="1" applyBorder="1" applyAlignment="1" applyProtection="1">
      <alignment horizontal="left" vertical="center"/>
    </xf>
    <xf numFmtId="49" fontId="80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80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80" fillId="2" borderId="38" xfId="0" applyNumberFormat="1" applyFont="1" applyFill="1" applyBorder="1" applyAlignment="1" applyProtection="1">
      <alignment horizontal="left" vertical="center" wrapText="1"/>
      <protection locked="0"/>
    </xf>
    <xf numFmtId="49" fontId="80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80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80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80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80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80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97" fillId="2" borderId="7" xfId="0" applyNumberFormat="1" applyFont="1" applyFill="1" applyBorder="1" applyAlignment="1" applyProtection="1">
      <alignment horizontal="left" vertical="center" wrapText="1"/>
    </xf>
    <xf numFmtId="0" fontId="105" fillId="2" borderId="75" xfId="0" applyNumberFormat="1" applyFont="1" applyFill="1" applyBorder="1" applyAlignment="1" applyProtection="1">
      <alignment horizontal="left" vertical="center"/>
      <protection locked="0"/>
    </xf>
    <xf numFmtId="0" fontId="105" fillId="2" borderId="55" xfId="0" applyNumberFormat="1" applyFont="1" applyFill="1" applyBorder="1" applyAlignment="1" applyProtection="1">
      <alignment horizontal="left" vertical="center"/>
      <protection locked="0"/>
    </xf>
    <xf numFmtId="0" fontId="105" fillId="2" borderId="76" xfId="0" applyNumberFormat="1" applyFont="1" applyFill="1" applyBorder="1" applyAlignment="1" applyProtection="1">
      <alignment horizontal="left" vertical="center"/>
      <protection locked="0"/>
    </xf>
    <xf numFmtId="169" fontId="62" fillId="2" borderId="32" xfId="0" applyNumberFormat="1" applyFont="1" applyFill="1" applyBorder="1" applyAlignment="1" applyProtection="1">
      <alignment horizontal="center" vertical="center" wrapText="1"/>
    </xf>
    <xf numFmtId="165" fontId="97" fillId="2" borderId="12" xfId="5" applyFont="1" applyFill="1" applyBorder="1" applyAlignment="1" applyProtection="1">
      <alignment horizontal="center" vertical="center" wrapText="1"/>
    </xf>
    <xf numFmtId="165" fontId="97" fillId="2" borderId="10" xfId="5" applyFont="1" applyFill="1" applyBorder="1" applyAlignment="1" applyProtection="1">
      <alignment horizontal="center" vertical="center" wrapText="1"/>
    </xf>
    <xf numFmtId="169" fontId="97" fillId="2" borderId="0" xfId="0" applyNumberFormat="1" applyFont="1" applyFill="1" applyBorder="1" applyAlignment="1" applyProtection="1">
      <alignment horizontal="center" vertical="center" wrapText="1"/>
    </xf>
    <xf numFmtId="0" fontId="62" fillId="2" borderId="37" xfId="0" applyFont="1" applyFill="1" applyBorder="1" applyAlignment="1" applyProtection="1">
      <alignment horizontal="left" vertical="center"/>
    </xf>
    <xf numFmtId="0" fontId="62" fillId="2" borderId="24" xfId="0" applyFont="1" applyFill="1" applyBorder="1" applyAlignment="1" applyProtection="1">
      <alignment horizontal="left" vertical="center"/>
    </xf>
    <xf numFmtId="0" fontId="62" fillId="2" borderId="40" xfId="0" applyFont="1" applyFill="1" applyBorder="1" applyAlignment="1" applyProtection="1">
      <alignment horizontal="left" vertical="center"/>
    </xf>
    <xf numFmtId="0" fontId="50" fillId="2" borderId="12" xfId="0" applyFont="1" applyFill="1" applyBorder="1" applyAlignment="1" applyProtection="1">
      <alignment horizontal="right" vertical="center" wrapText="1"/>
    </xf>
    <xf numFmtId="0" fontId="50" fillId="2" borderId="9" xfId="0" applyFont="1" applyFill="1" applyBorder="1" applyAlignment="1" applyProtection="1">
      <alignment horizontal="right" vertical="center" wrapText="1"/>
    </xf>
    <xf numFmtId="0" fontId="78" fillId="2" borderId="74" xfId="0" applyFont="1" applyFill="1" applyBorder="1" applyAlignment="1" applyProtection="1">
      <alignment horizontal="left" vertical="center" wrapText="1"/>
    </xf>
    <xf numFmtId="0" fontId="78" fillId="2" borderId="7" xfId="0" applyFont="1" applyFill="1" applyBorder="1" applyAlignment="1" applyProtection="1">
      <alignment horizontal="left" vertical="center" wrapText="1"/>
    </xf>
    <xf numFmtId="0" fontId="105" fillId="2" borderId="111" xfId="0" applyNumberFormat="1" applyFont="1" applyFill="1" applyBorder="1" applyAlignment="1" applyProtection="1">
      <alignment horizontal="center" vertical="center"/>
      <protection locked="0"/>
    </xf>
    <xf numFmtId="0" fontId="105" fillId="2" borderId="112" xfId="0" applyNumberFormat="1" applyFont="1" applyFill="1" applyBorder="1" applyAlignment="1" applyProtection="1">
      <alignment horizontal="center" vertical="center"/>
      <protection locked="0"/>
    </xf>
    <xf numFmtId="0" fontId="105" fillId="2" borderId="113" xfId="0" applyNumberFormat="1" applyFont="1" applyFill="1" applyBorder="1" applyAlignment="1" applyProtection="1">
      <alignment horizontal="center" vertical="center"/>
      <protection locked="0"/>
    </xf>
    <xf numFmtId="0" fontId="48" fillId="2" borderId="25" xfId="0" applyFont="1" applyFill="1" applyBorder="1" applyAlignment="1" applyProtection="1">
      <alignment horizontal="left" vertical="center" wrapText="1"/>
    </xf>
    <xf numFmtId="0" fontId="48" fillId="2" borderId="0" xfId="0" applyFont="1" applyFill="1" applyBorder="1" applyAlignment="1" applyProtection="1">
      <alignment horizontal="left" vertical="center" wrapText="1"/>
    </xf>
    <xf numFmtId="0" fontId="78" fillId="2" borderId="0" xfId="0" applyFont="1" applyFill="1" applyBorder="1" applyAlignment="1" applyProtection="1">
      <alignment horizontal="left" vertical="center" wrapText="1"/>
    </xf>
    <xf numFmtId="0" fontId="62" fillId="2" borderId="39" xfId="0" applyFont="1" applyFill="1" applyBorder="1" applyAlignment="1" applyProtection="1">
      <alignment horizontal="left" vertical="center"/>
    </xf>
    <xf numFmtId="0" fontId="97" fillId="2" borderId="22" xfId="0" applyFont="1" applyFill="1" applyBorder="1" applyAlignment="1" applyProtection="1">
      <alignment horizontal="left" vertical="center"/>
    </xf>
    <xf numFmtId="0" fontId="97" fillId="2" borderId="23" xfId="0" applyFont="1" applyFill="1" applyBorder="1" applyAlignment="1" applyProtection="1">
      <alignment horizontal="left" vertical="center"/>
    </xf>
    <xf numFmtId="0" fontId="97" fillId="2" borderId="33" xfId="0" applyFont="1" applyFill="1" applyBorder="1" applyAlignment="1" applyProtection="1">
      <alignment horizontal="left" vertical="center"/>
    </xf>
    <xf numFmtId="165" fontId="47" fillId="2" borderId="24" xfId="5" applyNumberFormat="1" applyFont="1" applyFill="1" applyBorder="1" applyAlignment="1" applyProtection="1">
      <alignment horizontal="left" vertical="center"/>
    </xf>
    <xf numFmtId="165" fontId="47" fillId="2" borderId="40" xfId="5" applyNumberFormat="1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right" vertical="center" wrapText="1"/>
    </xf>
    <xf numFmtId="0" fontId="3" fillId="2" borderId="23" xfId="0" applyFont="1" applyFill="1" applyBorder="1" applyAlignment="1" applyProtection="1">
      <alignment horizontal="right" vertical="center" wrapText="1"/>
    </xf>
    <xf numFmtId="0" fontId="62" fillId="2" borderId="23" xfId="0" applyFont="1" applyFill="1" applyBorder="1" applyAlignment="1" applyProtection="1">
      <alignment horizontal="center" vertical="center" wrapText="1"/>
    </xf>
    <xf numFmtId="0" fontId="62" fillId="2" borderId="22" xfId="0" applyFont="1" applyFill="1" applyBorder="1" applyAlignment="1" applyProtection="1">
      <alignment horizontal="center" vertical="center"/>
    </xf>
    <xf numFmtId="0" fontId="62" fillId="2" borderId="2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49" fillId="2" borderId="28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vertical="center" wrapText="1"/>
    </xf>
    <xf numFmtId="0" fontId="48" fillId="2" borderId="27" xfId="0" applyFont="1" applyFill="1" applyBorder="1" applyAlignment="1" applyProtection="1">
      <alignment horizontal="left" vertical="center" wrapText="1"/>
    </xf>
    <xf numFmtId="0" fontId="48" fillId="2" borderId="28" xfId="0" applyFont="1" applyFill="1" applyBorder="1" applyAlignment="1" applyProtection="1">
      <alignment horizontal="left" vertical="center" wrapText="1"/>
    </xf>
    <xf numFmtId="0" fontId="48" fillId="2" borderId="29" xfId="0" applyFont="1" applyFill="1" applyBorder="1" applyAlignment="1" applyProtection="1">
      <alignment horizontal="left" vertical="center" wrapText="1"/>
    </xf>
    <xf numFmtId="0" fontId="48" fillId="2" borderId="109" xfId="0" applyFont="1" applyFill="1" applyBorder="1" applyAlignment="1" applyProtection="1">
      <alignment horizontal="left" vertical="center" wrapText="1"/>
    </xf>
    <xf numFmtId="0" fontId="48" fillId="2" borderId="39" xfId="0" applyFont="1" applyFill="1" applyBorder="1" applyAlignment="1" applyProtection="1">
      <alignment horizontal="left" vertical="center" wrapText="1"/>
    </xf>
    <xf numFmtId="0" fontId="48" fillId="2" borderId="110" xfId="0" applyFont="1" applyFill="1" applyBorder="1" applyAlignment="1" applyProtection="1">
      <alignment horizontal="left" vertical="center" wrapText="1"/>
    </xf>
    <xf numFmtId="0" fontId="48" fillId="2" borderId="26" xfId="0" applyFont="1" applyFill="1" applyBorder="1" applyAlignment="1" applyProtection="1">
      <alignment horizontal="left" vertical="center" wrapText="1"/>
    </xf>
    <xf numFmtId="0" fontId="106" fillId="0" borderId="25" xfId="0" applyFont="1" applyFill="1" applyBorder="1" applyAlignment="1" applyProtection="1">
      <alignment horizontal="left" vertical="center" wrapText="1"/>
    </xf>
    <xf numFmtId="0" fontId="106" fillId="0" borderId="0" xfId="0" applyFont="1" applyFill="1" applyBorder="1" applyAlignment="1" applyProtection="1">
      <alignment horizontal="left" vertical="center" wrapText="1"/>
    </xf>
    <xf numFmtId="0" fontId="48" fillId="2" borderId="25" xfId="0" applyFont="1" applyFill="1" applyBorder="1" applyAlignment="1" applyProtection="1">
      <alignment horizontal="justify" vertical="center" wrapText="1"/>
    </xf>
    <xf numFmtId="0" fontId="48" fillId="2" borderId="0" xfId="0" applyFont="1" applyFill="1" applyBorder="1" applyAlignment="1" applyProtection="1">
      <alignment horizontal="justify" vertical="center" wrapText="1"/>
    </xf>
    <xf numFmtId="0" fontId="20" fillId="2" borderId="9" xfId="0" applyFon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0" fontId="97" fillId="2" borderId="22" xfId="0" applyFont="1" applyFill="1" applyBorder="1" applyAlignment="1" applyProtection="1">
      <alignment horizontal="center" vertical="center" wrapText="1"/>
    </xf>
    <xf numFmtId="0" fontId="97" fillId="2" borderId="23" xfId="0" applyFont="1" applyFill="1" applyBorder="1" applyAlignment="1" applyProtection="1">
      <alignment horizontal="center" vertical="center" wrapText="1"/>
    </xf>
    <xf numFmtId="0" fontId="97" fillId="2" borderId="33" xfId="0" applyFont="1" applyFill="1" applyBorder="1" applyAlignment="1" applyProtection="1">
      <alignment horizontal="center" vertical="center" wrapText="1"/>
    </xf>
    <xf numFmtId="165" fontId="102" fillId="2" borderId="12" xfId="5" applyFont="1" applyFill="1" applyBorder="1" applyAlignment="1" applyProtection="1">
      <alignment horizontal="center" vertical="center" wrapText="1"/>
    </xf>
    <xf numFmtId="165" fontId="102" fillId="2" borderId="9" xfId="5" applyFont="1" applyFill="1" applyBorder="1" applyAlignment="1" applyProtection="1">
      <alignment horizontal="center" vertical="center" wrapText="1"/>
    </xf>
    <xf numFmtId="0" fontId="92" fillId="2" borderId="23" xfId="0" applyFont="1" applyFill="1" applyBorder="1" applyAlignment="1" applyProtection="1">
      <alignment horizontal="center" vertical="center" wrapText="1"/>
    </xf>
    <xf numFmtId="0" fontId="92" fillId="2" borderId="33" xfId="0" applyFont="1" applyFill="1" applyBorder="1" applyAlignment="1" applyProtection="1">
      <alignment horizontal="center" vertical="center" wrapText="1"/>
    </xf>
    <xf numFmtId="0" fontId="61" fillId="2" borderId="31" xfId="0" applyFont="1" applyFill="1" applyBorder="1" applyAlignment="1" applyProtection="1">
      <alignment horizontal="right" vertical="center" wrapText="1"/>
    </xf>
    <xf numFmtId="0" fontId="61" fillId="2" borderId="32" xfId="0" applyFont="1" applyFill="1" applyBorder="1" applyAlignment="1" applyProtection="1">
      <alignment horizontal="right" vertical="center" wrapText="1"/>
    </xf>
    <xf numFmtId="0" fontId="61" fillId="2" borderId="38" xfId="0" applyFont="1" applyFill="1" applyBorder="1" applyAlignment="1" applyProtection="1">
      <alignment horizontal="right" vertical="center" wrapText="1"/>
    </xf>
    <xf numFmtId="0" fontId="50" fillId="2" borderId="33" xfId="0" applyFont="1" applyFill="1" applyBorder="1" applyAlignment="1" applyProtection="1">
      <alignment horizontal="right" vertical="center" wrapText="1"/>
    </xf>
    <xf numFmtId="0" fontId="48" fillId="2" borderId="22" xfId="0" applyFont="1" applyFill="1" applyBorder="1" applyAlignment="1" applyProtection="1">
      <alignment horizontal="center" vertical="center" wrapText="1"/>
    </xf>
    <xf numFmtId="0" fontId="48" fillId="2" borderId="23" xfId="0" applyFont="1" applyFill="1" applyBorder="1" applyAlignment="1" applyProtection="1">
      <alignment horizontal="center" vertical="center" wrapText="1"/>
    </xf>
    <xf numFmtId="0" fontId="48" fillId="2" borderId="33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center" vertical="center"/>
    </xf>
    <xf numFmtId="0" fontId="61" fillId="2" borderId="16" xfId="0" applyFont="1" applyFill="1" applyBorder="1" applyAlignment="1" applyProtection="1">
      <alignment horizontal="right" vertical="center" wrapText="1"/>
    </xf>
    <xf numFmtId="0" fontId="62" fillId="2" borderId="22" xfId="0" applyFont="1" applyFill="1" applyBorder="1" applyAlignment="1" applyProtection="1">
      <alignment horizontal="left" vertical="center" wrapText="1"/>
    </xf>
    <xf numFmtId="0" fontId="62" fillId="2" borderId="23" xfId="0" applyFont="1" applyFill="1" applyBorder="1" applyAlignment="1" applyProtection="1">
      <alignment horizontal="left" vertical="center" wrapText="1"/>
    </xf>
    <xf numFmtId="0" fontId="78" fillId="2" borderId="12" xfId="0" applyFont="1" applyFill="1" applyBorder="1" applyAlignment="1" applyProtection="1">
      <alignment horizontal="left" vertical="center" wrapText="1"/>
    </xf>
    <xf numFmtId="0" fontId="78" fillId="2" borderId="9" xfId="0" applyFont="1" applyFill="1" applyBorder="1" applyAlignment="1" applyProtection="1">
      <alignment horizontal="left" vertical="center" wrapText="1"/>
    </xf>
    <xf numFmtId="0" fontId="78" fillId="2" borderId="10" xfId="0" applyFont="1" applyFill="1" applyBorder="1" applyAlignment="1" applyProtection="1">
      <alignment horizontal="left" vertical="center" wrapText="1"/>
    </xf>
    <xf numFmtId="49" fontId="78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78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75" fillId="2" borderId="23" xfId="0" applyNumberFormat="1" applyFont="1" applyFill="1" applyBorder="1" applyProtection="1">
      <protection locked="0"/>
    </xf>
    <xf numFmtId="49" fontId="75" fillId="2" borderId="33" xfId="0" applyNumberFormat="1" applyFont="1" applyFill="1" applyBorder="1" applyProtection="1">
      <protection locked="0"/>
    </xf>
    <xf numFmtId="49" fontId="78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horizontal="right" vertical="center"/>
    </xf>
    <xf numFmtId="0" fontId="19" fillId="2" borderId="23" xfId="0" applyFont="1" applyFill="1" applyBorder="1" applyAlignment="1" applyProtection="1">
      <alignment horizontal="right" vertical="center"/>
    </xf>
    <xf numFmtId="0" fontId="19" fillId="2" borderId="33" xfId="0" applyFont="1" applyFill="1" applyBorder="1" applyAlignment="1" applyProtection="1">
      <alignment horizontal="right" vertical="center"/>
    </xf>
    <xf numFmtId="0" fontId="50" fillId="2" borderId="37" xfId="0" applyFont="1" applyFill="1" applyBorder="1" applyAlignment="1" applyProtection="1">
      <alignment horizontal="center" vertical="center"/>
    </xf>
    <xf numFmtId="0" fontId="50" fillId="2" borderId="24" xfId="0" applyFont="1" applyFill="1" applyBorder="1" applyAlignment="1" applyProtection="1">
      <alignment horizontal="center" vertical="center"/>
    </xf>
    <xf numFmtId="0" fontId="50" fillId="2" borderId="40" xfId="0" applyFont="1" applyFill="1" applyBorder="1" applyAlignment="1" applyProtection="1">
      <alignment horizontal="center" vertical="center"/>
    </xf>
    <xf numFmtId="0" fontId="50" fillId="2" borderId="23" xfId="0" applyFont="1" applyFill="1" applyBorder="1" applyAlignment="1" applyProtection="1">
      <alignment horizontal="center" vertical="center" wrapText="1"/>
    </xf>
    <xf numFmtId="0" fontId="50" fillId="2" borderId="33" xfId="0" applyFont="1" applyFill="1" applyBorder="1" applyAlignment="1" applyProtection="1">
      <alignment horizontal="center" vertical="center" wrapText="1"/>
    </xf>
    <xf numFmtId="0" fontId="57" fillId="2" borderId="37" xfId="0" applyFont="1" applyFill="1" applyBorder="1" applyAlignment="1" applyProtection="1">
      <alignment horizontal="center" vertical="center"/>
    </xf>
    <xf numFmtId="0" fontId="57" fillId="2" borderId="24" xfId="0" applyFont="1" applyFill="1" applyBorder="1" applyAlignment="1" applyProtection="1">
      <alignment horizontal="center" vertical="center"/>
    </xf>
    <xf numFmtId="0" fontId="57" fillId="2" borderId="40" xfId="0" applyFont="1" applyFill="1" applyBorder="1" applyAlignment="1" applyProtection="1">
      <alignment horizontal="center" vertical="center"/>
    </xf>
    <xf numFmtId="0" fontId="54" fillId="2" borderId="106" xfId="0" applyFont="1" applyFill="1" applyBorder="1" applyAlignment="1" applyProtection="1">
      <alignment horizontal="center" vertical="center" wrapText="1"/>
    </xf>
    <xf numFmtId="0" fontId="54" fillId="2" borderId="107" xfId="0" applyFont="1" applyFill="1" applyBorder="1" applyAlignment="1" applyProtection="1">
      <alignment horizontal="center" vertical="center" wrapText="1"/>
    </xf>
    <xf numFmtId="0" fontId="54" fillId="2" borderId="37" xfId="0" applyFont="1" applyFill="1" applyBorder="1" applyAlignment="1" applyProtection="1">
      <alignment horizontal="left" vertical="center"/>
    </xf>
    <xf numFmtId="0" fontId="54" fillId="2" borderId="24" xfId="0" applyFont="1" applyFill="1" applyBorder="1" applyAlignment="1" applyProtection="1">
      <alignment horizontal="left" vertical="center"/>
    </xf>
    <xf numFmtId="0" fontId="54" fillId="2" borderId="40" xfId="0" applyFont="1" applyFill="1" applyBorder="1" applyAlignment="1" applyProtection="1">
      <alignment horizontal="left" vertical="center"/>
    </xf>
    <xf numFmtId="0" fontId="105" fillId="2" borderId="22" xfId="0" applyFont="1" applyFill="1" applyBorder="1" applyAlignment="1" applyProtection="1">
      <alignment horizontal="left" vertical="center" wrapText="1"/>
    </xf>
    <xf numFmtId="0" fontId="105" fillId="2" borderId="23" xfId="0" applyFont="1" applyFill="1" applyBorder="1" applyAlignment="1" applyProtection="1">
      <alignment horizontal="left" vertical="center" wrapText="1"/>
    </xf>
    <xf numFmtId="0" fontId="105" fillId="2" borderId="33" xfId="0" applyFont="1" applyFill="1" applyBorder="1" applyAlignment="1" applyProtection="1">
      <alignment horizontal="left" vertical="center" wrapText="1"/>
    </xf>
    <xf numFmtId="39" fontId="92" fillId="2" borderId="108" xfId="5" applyNumberFormat="1" applyFont="1" applyFill="1" applyBorder="1" applyAlignment="1" applyProtection="1">
      <alignment horizontal="center" vertical="center" wrapText="1"/>
    </xf>
    <xf numFmtId="39" fontId="92" fillId="2" borderId="33" xfId="5" applyNumberFormat="1" applyFont="1" applyFill="1" applyBorder="1" applyAlignment="1" applyProtection="1">
      <alignment horizontal="center" vertical="center" wrapText="1"/>
    </xf>
    <xf numFmtId="0" fontId="97" fillId="2" borderId="74" xfId="0" applyNumberFormat="1" applyFont="1" applyFill="1" applyBorder="1" applyAlignment="1" applyProtection="1">
      <alignment horizontal="left" vertical="center" wrapText="1"/>
    </xf>
    <xf numFmtId="0" fontId="54" fillId="2" borderId="35" xfId="0" applyFont="1" applyFill="1" applyBorder="1" applyAlignment="1" applyProtection="1">
      <alignment horizontal="center" vertical="center" wrapText="1"/>
    </xf>
    <xf numFmtId="0" fontId="56" fillId="2" borderId="23" xfId="0" applyFont="1" applyFill="1" applyBorder="1" applyAlignment="1" applyProtection="1">
      <alignment horizontal="right" vertical="center" wrapText="1"/>
    </xf>
    <xf numFmtId="2" fontId="92" fillId="2" borderId="22" xfId="0" applyNumberFormat="1" applyFont="1" applyFill="1" applyBorder="1" applyAlignment="1" applyProtection="1">
      <alignment horizontal="left" vertical="center" wrapText="1"/>
    </xf>
    <xf numFmtId="2" fontId="96" fillId="2" borderId="23" xfId="0" applyNumberFormat="1" applyFont="1" applyFill="1" applyBorder="1" applyProtection="1"/>
    <xf numFmtId="2" fontId="96" fillId="2" borderId="33" xfId="0" applyNumberFormat="1" applyFont="1" applyFill="1" applyBorder="1" applyProtection="1"/>
    <xf numFmtId="2" fontId="92" fillId="2" borderId="33" xfId="0" applyNumberFormat="1" applyFont="1" applyFill="1" applyBorder="1" applyAlignment="1" applyProtection="1">
      <alignment horizontal="left" vertical="center" wrapText="1"/>
    </xf>
    <xf numFmtId="0" fontId="62" fillId="2" borderId="37" xfId="0" applyFont="1" applyFill="1" applyBorder="1" applyAlignment="1" applyProtection="1">
      <alignment horizontal="center" vertical="center"/>
    </xf>
    <xf numFmtId="0" fontId="62" fillId="2" borderId="24" xfId="0" applyFont="1" applyFill="1" applyBorder="1" applyAlignment="1" applyProtection="1">
      <alignment horizontal="center" vertical="center"/>
    </xf>
    <xf numFmtId="0" fontId="62" fillId="2" borderId="40" xfId="0" applyFont="1" applyFill="1" applyBorder="1" applyAlignment="1" applyProtection="1">
      <alignment horizontal="center" vertical="center"/>
    </xf>
    <xf numFmtId="165" fontId="20" fillId="2" borderId="0" xfId="5" applyFont="1" applyFill="1" applyAlignment="1" applyProtection="1">
      <alignment horizontal="left" vertical="center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33" xfId="0" applyFont="1" applyFill="1" applyBorder="1" applyAlignment="1" applyProtection="1">
      <alignment horizontal="center" vertical="center" wrapText="1"/>
    </xf>
    <xf numFmtId="165" fontId="110" fillId="2" borderId="0" xfId="5" applyFont="1" applyFill="1" applyBorder="1" applyAlignment="1" applyProtection="1">
      <alignment horizontal="center" vertical="center"/>
    </xf>
    <xf numFmtId="49" fontId="110" fillId="2" borderId="0" xfId="5" applyNumberFormat="1" applyFont="1" applyFill="1" applyBorder="1" applyAlignment="1" applyProtection="1">
      <alignment horizontal="center" vertical="center"/>
    </xf>
  </cellXfs>
  <cellStyles count="6">
    <cellStyle name="Hyperlink" xfId="1" builtinId="8"/>
    <cellStyle name="Moeda_Planilha Padrão de Preço de Serviços-GR" xfId="2"/>
    <cellStyle name="Normal" xfId="0" builtinId="0"/>
    <cellStyle name="Normal 2" xfId="3"/>
    <cellStyle name="Porcentagem" xfId="4" builtinId="5"/>
    <cellStyle name="Separador de milhares" xfId="5" builtinId="3"/>
  </cellStyles>
  <dxfs count="9">
    <dxf>
      <font>
        <strike/>
        <condense val="0"/>
        <extend val="0"/>
        <u val="double"/>
        <color indexed="9"/>
      </font>
      <fill>
        <patternFill>
          <bgColor indexed="10"/>
        </patternFill>
      </fill>
    </dxf>
    <dxf>
      <font>
        <strike/>
        <condense val="0"/>
        <extend val="0"/>
        <u val="double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38100</xdr:rowOff>
    </xdr:from>
    <xdr:to>
      <xdr:col>3</xdr:col>
      <xdr:colOff>371475</xdr:colOff>
      <xdr:row>1</xdr:row>
      <xdr:rowOff>561975</xdr:rowOff>
    </xdr:to>
    <xdr:pic>
      <xdr:nvPicPr>
        <xdr:cNvPr id="11311" name="Picture 18" descr="LOGO INFRAERO VERTIC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04775"/>
          <a:ext cx="819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38100</xdr:rowOff>
    </xdr:from>
    <xdr:to>
      <xdr:col>3</xdr:col>
      <xdr:colOff>371475</xdr:colOff>
      <xdr:row>1</xdr:row>
      <xdr:rowOff>561975</xdr:rowOff>
    </xdr:to>
    <xdr:pic>
      <xdr:nvPicPr>
        <xdr:cNvPr id="28707" name="Picture 6" descr="LOGO INFRAERO VERTIC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04775"/>
          <a:ext cx="819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ftp://s_sean17/integracao/Publico/DA/DALC/LEGISLACAO/Instrucao_Normativa_SRF_162.htm.htm" TargetMode="External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ftp://s_sean17/integracao/Publico/DA/DALC/LEGISLACAO/Instrucao_Normativa_SRF_162.htm.htm" TargetMode="External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  <pageSetUpPr autoPageBreaks="0" fitToPage="1"/>
  </sheetPr>
  <dimension ref="B1:Q27"/>
  <sheetViews>
    <sheetView showGridLines="0" showZeros="0" topLeftCell="A3" zoomScale="90" workbookViewId="0">
      <selection activeCell="S12" sqref="S12"/>
    </sheetView>
  </sheetViews>
  <sheetFormatPr defaultRowHeight="12.75"/>
  <cols>
    <col min="1" max="1" width="9.140625" style="143"/>
    <col min="2" max="2" width="30" style="142" customWidth="1"/>
    <col min="3" max="17" width="4.42578125" style="143" customWidth="1"/>
    <col min="18" max="16384" width="9.140625" style="143"/>
  </cols>
  <sheetData>
    <row r="1" spans="2:17" hidden="1"/>
    <row r="2" spans="2:17" hidden="1"/>
    <row r="3" spans="2:17" ht="24.75" customHeight="1"/>
    <row r="4" spans="2:17" ht="18" customHeight="1" thickBot="1">
      <c r="B4" s="860" t="s">
        <v>243</v>
      </c>
      <c r="C4" s="989"/>
      <c r="D4" s="990"/>
      <c r="E4" s="990"/>
      <c r="F4" s="990"/>
      <c r="G4" s="990"/>
      <c r="H4" s="990"/>
      <c r="I4" s="990"/>
      <c r="J4" s="990"/>
      <c r="K4" s="990"/>
      <c r="L4" s="990"/>
      <c r="M4" s="990"/>
      <c r="N4" s="990"/>
      <c r="O4" s="990"/>
      <c r="P4" s="990"/>
      <c r="Q4" s="991"/>
    </row>
    <row r="5" spans="2:17">
      <c r="B5" s="861"/>
    </row>
    <row r="6" spans="2:17" ht="45" customHeight="1" thickBot="1">
      <c r="B6" s="861" t="s">
        <v>235</v>
      </c>
      <c r="C6" s="989" t="s">
        <v>617</v>
      </c>
      <c r="D6" s="990"/>
      <c r="E6" s="990"/>
      <c r="F6" s="990"/>
      <c r="G6" s="990"/>
      <c r="H6" s="990"/>
      <c r="I6" s="990"/>
      <c r="J6" s="990"/>
      <c r="K6" s="990"/>
      <c r="L6" s="990"/>
      <c r="M6" s="990"/>
      <c r="N6" s="990"/>
      <c r="O6" s="990"/>
      <c r="P6" s="990"/>
      <c r="Q6" s="991"/>
    </row>
    <row r="7" spans="2:17">
      <c r="B7" s="861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</row>
    <row r="8" spans="2:17" ht="18" customHeight="1" thickBot="1">
      <c r="B8" s="861" t="s">
        <v>236</v>
      </c>
      <c r="C8" s="998" t="s">
        <v>614</v>
      </c>
      <c r="D8" s="999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</row>
    <row r="9" spans="2:17">
      <c r="B9" s="861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2:17" ht="94.5" customHeight="1" thickBot="1">
      <c r="B10" s="861" t="s">
        <v>32</v>
      </c>
      <c r="C10" s="989" t="s">
        <v>615</v>
      </c>
      <c r="D10" s="990"/>
      <c r="E10" s="990"/>
      <c r="F10" s="990"/>
      <c r="G10" s="990"/>
      <c r="H10" s="990"/>
      <c r="I10" s="990"/>
      <c r="J10" s="990"/>
      <c r="K10" s="990"/>
      <c r="L10" s="990"/>
      <c r="M10" s="990"/>
      <c r="N10" s="990"/>
      <c r="O10" s="990"/>
      <c r="P10" s="990"/>
      <c r="Q10" s="991"/>
    </row>
    <row r="11" spans="2:17">
      <c r="B11" s="861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2:17" ht="52.5" customHeight="1" thickBot="1">
      <c r="B12" s="861" t="s">
        <v>31</v>
      </c>
      <c r="C12" s="989" t="s">
        <v>616</v>
      </c>
      <c r="D12" s="990"/>
      <c r="E12" s="990"/>
      <c r="F12" s="990"/>
      <c r="G12" s="990"/>
      <c r="H12" s="990"/>
      <c r="I12" s="990"/>
      <c r="J12" s="990"/>
      <c r="K12" s="990"/>
      <c r="L12" s="990"/>
      <c r="M12" s="990"/>
      <c r="N12" s="990"/>
      <c r="O12" s="990"/>
      <c r="P12" s="990"/>
      <c r="Q12" s="991"/>
    </row>
    <row r="13" spans="2:17">
      <c r="B13" s="861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2:17" ht="24" customHeight="1" thickBot="1">
      <c r="B14" s="861" t="s">
        <v>8</v>
      </c>
      <c r="C14" s="989" t="s">
        <v>28</v>
      </c>
      <c r="D14" s="990"/>
      <c r="E14" s="990"/>
      <c r="F14" s="990"/>
      <c r="G14" s="990"/>
      <c r="H14" s="990"/>
      <c r="I14" s="990"/>
      <c r="J14" s="990"/>
      <c r="K14" s="990"/>
      <c r="L14" s="990"/>
      <c r="M14" s="990"/>
      <c r="N14" s="990"/>
      <c r="O14" s="990"/>
      <c r="P14" s="990"/>
      <c r="Q14" s="991"/>
    </row>
    <row r="15" spans="2:17">
      <c r="B15" s="861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2:17" ht="20.25" customHeight="1" thickBot="1">
      <c r="B16" s="861" t="s">
        <v>35</v>
      </c>
      <c r="C16" s="989" t="s">
        <v>234</v>
      </c>
      <c r="D16" s="990"/>
      <c r="E16" s="990"/>
      <c r="F16" s="990"/>
      <c r="G16" s="990"/>
      <c r="H16" s="990"/>
      <c r="I16" s="990"/>
      <c r="J16" s="990"/>
      <c r="K16" s="990"/>
      <c r="L16" s="990"/>
      <c r="M16" s="990"/>
      <c r="N16" s="990"/>
      <c r="O16" s="990"/>
      <c r="P16" s="990"/>
      <c r="Q16" s="991"/>
    </row>
    <row r="17" spans="2:17">
      <c r="B17" s="861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2:17" ht="20.25" customHeight="1" thickBot="1">
      <c r="B18" s="861" t="s">
        <v>33</v>
      </c>
      <c r="C18" s="995">
        <v>12</v>
      </c>
      <c r="D18" s="996"/>
      <c r="E18" s="996"/>
      <c r="F18" s="997"/>
      <c r="G18" s="862" t="s">
        <v>7</v>
      </c>
      <c r="H18" s="145"/>
      <c r="I18" s="145"/>
      <c r="J18" s="145"/>
      <c r="K18" s="145"/>
      <c r="L18" s="145"/>
      <c r="M18" s="145"/>
      <c r="N18" s="145"/>
      <c r="O18" s="145"/>
      <c r="P18" s="145"/>
      <c r="Q18" s="145"/>
    </row>
    <row r="19" spans="2:17">
      <c r="B19" s="861"/>
    </row>
    <row r="20" spans="2:17" ht="18.75" customHeight="1" thickBot="1">
      <c r="B20" s="861" t="s">
        <v>219</v>
      </c>
      <c r="C20" s="992"/>
      <c r="D20" s="993"/>
      <c r="E20" s="993"/>
      <c r="F20" s="994"/>
    </row>
    <row r="21" spans="2:17">
      <c r="B21" s="861"/>
      <c r="D21" s="146"/>
    </row>
    <row r="22" spans="2:17" ht="59.25" customHeight="1" thickBot="1">
      <c r="B22" s="862" t="s">
        <v>244</v>
      </c>
      <c r="C22" s="989"/>
      <c r="D22" s="990"/>
      <c r="E22" s="990"/>
      <c r="F22" s="990"/>
      <c r="G22" s="990"/>
      <c r="H22" s="990"/>
      <c r="I22" s="990"/>
      <c r="J22" s="990"/>
      <c r="K22" s="990"/>
      <c r="L22" s="990"/>
      <c r="M22" s="990"/>
      <c r="N22" s="990"/>
      <c r="O22" s="990"/>
      <c r="P22" s="990"/>
      <c r="Q22" s="991"/>
    </row>
    <row r="23" spans="2:17">
      <c r="B23" s="861"/>
    </row>
    <row r="24" spans="2:17">
      <c r="B24" s="861"/>
    </row>
    <row r="25" spans="2:17" ht="45" customHeight="1" thickBot="1">
      <c r="B25" s="862" t="s">
        <v>245</v>
      </c>
      <c r="C25" s="989"/>
      <c r="D25" s="990"/>
      <c r="E25" s="990"/>
      <c r="F25" s="990"/>
      <c r="G25" s="990"/>
      <c r="H25" s="990"/>
      <c r="I25" s="990"/>
      <c r="J25" s="990"/>
      <c r="K25" s="990"/>
      <c r="L25" s="990"/>
      <c r="M25" s="990"/>
      <c r="N25" s="990"/>
      <c r="O25" s="990"/>
      <c r="P25" s="990"/>
      <c r="Q25" s="991"/>
    </row>
    <row r="26" spans="2:17">
      <c r="B26" s="861"/>
    </row>
    <row r="27" spans="2:17">
      <c r="B27" s="861"/>
    </row>
  </sheetData>
  <sheetProtection password="CADB" sheet="1" objects="1" scenarios="1" formatColumns="0" formatRows="0"/>
  <mergeCells count="11">
    <mergeCell ref="C14:Q14"/>
    <mergeCell ref="C4:Q4"/>
    <mergeCell ref="C6:Q6"/>
    <mergeCell ref="C10:Q10"/>
    <mergeCell ref="C12:Q12"/>
    <mergeCell ref="C8:D8"/>
    <mergeCell ref="C25:Q25"/>
    <mergeCell ref="C22:Q22"/>
    <mergeCell ref="C20:F20"/>
    <mergeCell ref="C18:F18"/>
    <mergeCell ref="C16:Q16"/>
  </mergeCells>
  <phoneticPr fontId="31" type="noConversion"/>
  <pageMargins left="0.78740157480314965" right="0.6" top="0.98425196850393704" bottom="0.98425196850393704" header="0.51181102362204722" footer="0.51181102362204722"/>
  <pageSetup paperSize="9" scale="84" orientation="portrait" blackAndWhite="1" horizontalDpi="4294967294" r:id="rId1"/>
  <headerFooter alignWithMargins="0">
    <oddFooter>&amp;R&amp;F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  <pageSetUpPr autoPageBreaks="0"/>
  </sheetPr>
  <dimension ref="A1:T209"/>
  <sheetViews>
    <sheetView showGridLines="0" showZeros="0" zoomScaleNormal="100" zoomScaleSheetLayoutView="100" workbookViewId="0">
      <selection activeCell="J26" sqref="J26"/>
    </sheetView>
  </sheetViews>
  <sheetFormatPr defaultRowHeight="12.75"/>
  <cols>
    <col min="1" max="1" width="4" style="489" customWidth="1"/>
    <col min="2" max="2" width="18" style="489" customWidth="1"/>
    <col min="3" max="3" width="2.140625" style="489" customWidth="1"/>
    <col min="4" max="4" width="7.140625" style="489" customWidth="1"/>
    <col min="5" max="5" width="1.5703125" style="489" customWidth="1"/>
    <col min="6" max="6" width="5.140625" style="489" customWidth="1"/>
    <col min="7" max="7" width="1.85546875" style="489" customWidth="1"/>
    <col min="8" max="8" width="10" style="489" customWidth="1"/>
    <col min="9" max="9" width="2.42578125" style="489" customWidth="1"/>
    <col min="10" max="10" width="9.85546875" style="489" customWidth="1"/>
    <col min="11" max="11" width="2.42578125" style="489" customWidth="1"/>
    <col min="12" max="12" width="9.85546875" style="489" customWidth="1"/>
    <col min="13" max="13" width="2.42578125" style="489" customWidth="1"/>
    <col min="14" max="14" width="10.7109375" style="489" customWidth="1"/>
    <col min="15" max="15" width="2.42578125" style="489" customWidth="1"/>
    <col min="16" max="16" width="10.140625" style="489" customWidth="1"/>
    <col min="17" max="17" width="2.42578125" style="489" customWidth="1"/>
    <col min="18" max="18" width="11.5703125" style="489" customWidth="1"/>
    <col min="19" max="16384" width="9.140625" style="489"/>
  </cols>
  <sheetData>
    <row r="1" spans="1:19" ht="6" customHeight="1"/>
    <row r="2" spans="1:19" ht="15" customHeight="1"/>
    <row r="3" spans="1:19" ht="14.25" customHeight="1">
      <c r="A3" s="490"/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1"/>
    </row>
    <row r="4" spans="1:19" ht="21" customHeight="1" thickBot="1">
      <c r="A4" s="490"/>
      <c r="B4" s="1073" t="s">
        <v>401</v>
      </c>
      <c r="C4" s="1074"/>
      <c r="D4" s="1074"/>
      <c r="E4" s="1074"/>
      <c r="F4" s="1074"/>
      <c r="G4" s="1074"/>
      <c r="H4" s="1074"/>
      <c r="I4" s="1074"/>
      <c r="J4" s="1074"/>
      <c r="K4" s="1074"/>
      <c r="L4" s="1074"/>
      <c r="M4" s="1074"/>
      <c r="N4" s="1074"/>
      <c r="O4" s="1074"/>
      <c r="P4" s="1074"/>
      <c r="Q4" s="1074"/>
      <c r="R4" s="1075"/>
      <c r="S4" s="491"/>
    </row>
    <row r="5" spans="1:19" ht="11.25" customHeight="1">
      <c r="A5" s="490"/>
      <c r="B5" s="6"/>
      <c r="C5" s="6"/>
      <c r="D5" s="6"/>
      <c r="E5" s="6"/>
      <c r="F5" s="6"/>
      <c r="G5" s="6"/>
      <c r="H5" s="6"/>
      <c r="I5" s="6"/>
      <c r="J5" s="6"/>
      <c r="K5" s="6"/>
      <c r="L5" s="490"/>
      <c r="M5" s="490"/>
      <c r="N5" s="490"/>
      <c r="O5" s="490"/>
      <c r="P5" s="490"/>
      <c r="Q5" s="490"/>
      <c r="R5" s="490"/>
      <c r="S5" s="491"/>
    </row>
    <row r="6" spans="1:19" ht="18" customHeight="1" thickBot="1">
      <c r="A6" s="490"/>
      <c r="B6" s="676"/>
      <c r="C6" s="66"/>
      <c r="D6" s="677"/>
      <c r="E6" s="77"/>
      <c r="F6" s="678"/>
      <c r="G6" s="679"/>
      <c r="H6" s="73" t="s">
        <v>402</v>
      </c>
      <c r="I6" s="490"/>
      <c r="J6" s="655"/>
      <c r="K6" s="698" t="s">
        <v>495</v>
      </c>
      <c r="L6" s="491"/>
      <c r="N6" s="679"/>
      <c r="O6" s="490"/>
      <c r="P6" s="699" t="s">
        <v>403</v>
      </c>
      <c r="Q6" s="490"/>
      <c r="R6" s="654"/>
      <c r="S6" s="491"/>
    </row>
    <row r="7" spans="1:19" ht="9" customHeight="1">
      <c r="A7" s="490"/>
      <c r="B7" s="3"/>
      <c r="C7" s="3"/>
      <c r="D7" s="8"/>
      <c r="E7" s="18"/>
      <c r="F7" s="492"/>
      <c r="G7" s="3"/>
      <c r="H7" s="492"/>
      <c r="I7" s="492"/>
      <c r="J7" s="493"/>
      <c r="K7" s="490"/>
      <c r="L7" s="494"/>
      <c r="M7" s="490"/>
      <c r="N7" s="490"/>
      <c r="O7" s="490"/>
      <c r="P7" s="490"/>
      <c r="Q7" s="490"/>
      <c r="R7" s="490"/>
      <c r="S7" s="491"/>
    </row>
    <row r="8" spans="1:19" ht="16.5" customHeight="1" thickBot="1">
      <c r="A8" s="490"/>
      <c r="B8" s="657"/>
      <c r="C8" s="656"/>
      <c r="D8" s="656"/>
      <c r="E8" s="656"/>
      <c r="F8" s="656"/>
      <c r="G8" s="538"/>
      <c r="H8" s="656"/>
      <c r="I8" s="656"/>
      <c r="J8" s="656" t="s">
        <v>19</v>
      </c>
      <c r="K8" s="656"/>
      <c r="L8" s="656"/>
      <c r="M8" s="538"/>
      <c r="N8" s="538"/>
      <c r="O8" s="538"/>
      <c r="P8" s="538"/>
      <c r="Q8" s="538"/>
      <c r="R8" s="539"/>
      <c r="S8" s="491"/>
    </row>
    <row r="9" spans="1:19" ht="6.75" customHeight="1">
      <c r="A9" s="490"/>
      <c r="B9" s="3"/>
      <c r="C9" s="3"/>
      <c r="D9" s="3"/>
      <c r="E9" s="3"/>
      <c r="F9" s="4"/>
      <c r="G9" s="4"/>
      <c r="H9" s="4"/>
      <c r="I9" s="4"/>
      <c r="J9" s="4"/>
      <c r="K9" s="3"/>
      <c r="L9" s="490"/>
      <c r="M9" s="490"/>
      <c r="N9" s="490"/>
      <c r="O9" s="490"/>
      <c r="P9" s="490"/>
      <c r="Q9" s="490"/>
      <c r="R9" s="490"/>
      <c r="S9" s="491"/>
    </row>
    <row r="10" spans="1:19" ht="25.5" customHeight="1" thickBot="1">
      <c r="A10" s="490"/>
      <c r="B10" s="658" t="s">
        <v>100</v>
      </c>
      <c r="C10" s="659"/>
      <c r="D10" s="656" t="s">
        <v>65</v>
      </c>
      <c r="E10" s="659"/>
      <c r="F10" s="660" t="s">
        <v>66</v>
      </c>
      <c r="G10" s="660"/>
      <c r="H10" s="659" t="s">
        <v>67</v>
      </c>
      <c r="I10" s="581"/>
      <c r="J10" s="656" t="s">
        <v>64</v>
      </c>
      <c r="K10" s="581"/>
      <c r="L10" s="656" t="s">
        <v>404</v>
      </c>
      <c r="M10" s="538"/>
      <c r="N10" s="656" t="s">
        <v>17</v>
      </c>
      <c r="O10" s="538"/>
      <c r="P10" s="661" t="s">
        <v>85</v>
      </c>
      <c r="Q10" s="538"/>
      <c r="R10" s="662" t="s">
        <v>109</v>
      </c>
      <c r="S10" s="491"/>
    </row>
    <row r="11" spans="1:19">
      <c r="A11" s="490"/>
      <c r="B11" s="43"/>
      <c r="C11" s="43"/>
      <c r="D11" s="6"/>
      <c r="E11" s="43"/>
      <c r="F11" s="6"/>
      <c r="G11" s="6"/>
      <c r="H11" s="43"/>
      <c r="I11" s="3"/>
      <c r="J11" s="6"/>
      <c r="K11" s="3"/>
      <c r="L11" s="4"/>
      <c r="M11" s="490"/>
      <c r="N11" s="490"/>
      <c r="O11" s="490"/>
      <c r="P11" s="490"/>
      <c r="Q11" s="490"/>
      <c r="R11" s="490"/>
      <c r="S11" s="491"/>
    </row>
    <row r="12" spans="1:19" s="497" customFormat="1" ht="14.25" customHeight="1">
      <c r="A12" s="495"/>
      <c r="B12" s="77" t="s">
        <v>75</v>
      </c>
      <c r="C12" s="43"/>
      <c r="D12" s="644">
        <v>4</v>
      </c>
      <c r="E12" s="18"/>
      <c r="F12" s="646" t="s">
        <v>29</v>
      </c>
      <c r="G12" s="43"/>
      <c r="H12" s="650"/>
      <c r="I12" s="3"/>
      <c r="J12" s="653"/>
      <c r="K12" s="3"/>
      <c r="L12" s="663">
        <f>IF(H12&gt;0,(J12*D12)/H12,0)</f>
        <v>0</v>
      </c>
      <c r="M12" s="495"/>
      <c r="N12" s="665">
        <f>L12*J6</f>
        <v>0</v>
      </c>
      <c r="O12" s="495"/>
      <c r="P12" s="665">
        <f>IF(Consolidado_Geral!$G$133=7.6%,-(0.0165+0.076)*N12,0)</f>
        <v>0</v>
      </c>
      <c r="Q12" s="495"/>
      <c r="R12" s="665">
        <f t="shared" ref="R12:R21" si="0">N12+P12</f>
        <v>0</v>
      </c>
      <c r="S12" s="496"/>
    </row>
    <row r="13" spans="1:19" s="497" customFormat="1" ht="14.25" customHeight="1">
      <c r="A13" s="495"/>
      <c r="B13" s="77" t="s">
        <v>74</v>
      </c>
      <c r="C13" s="18"/>
      <c r="D13" s="644">
        <v>1</v>
      </c>
      <c r="E13" s="18"/>
      <c r="F13" s="646" t="s">
        <v>63</v>
      </c>
      <c r="G13" s="43"/>
      <c r="H13" s="651"/>
      <c r="I13" s="3"/>
      <c r="J13" s="653"/>
      <c r="K13" s="3"/>
      <c r="L13" s="663">
        <f>IF(H13&gt;0,(J13*D13)/H13,0)</f>
        <v>0</v>
      </c>
      <c r="M13" s="495"/>
      <c r="N13" s="665">
        <f>L13*J6</f>
        <v>0</v>
      </c>
      <c r="O13" s="495"/>
      <c r="P13" s="665">
        <f>IF(Consolidado_Geral!$G$133=7.6%,-(0.0165+0.076)*N13,0)</f>
        <v>0</v>
      </c>
      <c r="Q13" s="495"/>
      <c r="R13" s="665">
        <f t="shared" si="0"/>
        <v>0</v>
      </c>
      <c r="S13" s="496"/>
    </row>
    <row r="14" spans="1:19" s="497" customFormat="1" ht="14.25" customHeight="1">
      <c r="A14" s="495"/>
      <c r="B14" s="77" t="s">
        <v>68</v>
      </c>
      <c r="C14" s="18"/>
      <c r="D14" s="644"/>
      <c r="E14" s="18"/>
      <c r="F14" s="647" t="s">
        <v>63</v>
      </c>
      <c r="G14" s="498"/>
      <c r="H14" s="650"/>
      <c r="I14" s="3"/>
      <c r="J14" s="653"/>
      <c r="K14" s="3"/>
      <c r="L14" s="663">
        <f t="shared" ref="L14:L20" si="1">IF(H14&gt;0,(J14*D14)/H14,0)</f>
        <v>0</v>
      </c>
      <c r="M14" s="495"/>
      <c r="N14" s="665">
        <f>L14*J6</f>
        <v>0</v>
      </c>
      <c r="O14" s="495"/>
      <c r="P14" s="665">
        <f>IF(Consolidado_Geral!$G$133=7.6%,-(0.0165+0.076)*N14,0)</f>
        <v>0</v>
      </c>
      <c r="Q14" s="495"/>
      <c r="R14" s="665">
        <f t="shared" si="0"/>
        <v>0</v>
      </c>
      <c r="S14" s="496"/>
    </row>
    <row r="15" spans="1:19" s="497" customFormat="1" ht="14.25" customHeight="1">
      <c r="A15" s="495"/>
      <c r="B15" s="77" t="s">
        <v>69</v>
      </c>
      <c r="C15" s="18"/>
      <c r="D15" s="644">
        <v>1</v>
      </c>
      <c r="E15" s="18"/>
      <c r="F15" s="647" t="s">
        <v>63</v>
      </c>
      <c r="G15" s="498"/>
      <c r="H15" s="650"/>
      <c r="I15" s="3"/>
      <c r="J15" s="653"/>
      <c r="K15" s="3"/>
      <c r="L15" s="663">
        <f t="shared" si="1"/>
        <v>0</v>
      </c>
      <c r="M15" s="495"/>
      <c r="N15" s="665">
        <f>L15*J6</f>
        <v>0</v>
      </c>
      <c r="O15" s="495"/>
      <c r="P15" s="665">
        <f>IF(Consolidado_Geral!$G$133=7.6%,-(0.0165+0.076)*N15,0)</f>
        <v>0</v>
      </c>
      <c r="Q15" s="495"/>
      <c r="R15" s="665">
        <f t="shared" si="0"/>
        <v>0</v>
      </c>
      <c r="S15" s="496"/>
    </row>
    <row r="16" spans="1:19" s="497" customFormat="1" ht="14.25" customHeight="1">
      <c r="A16" s="495"/>
      <c r="B16" s="77" t="s">
        <v>70</v>
      </c>
      <c r="C16" s="18"/>
      <c r="D16" s="644">
        <v>1</v>
      </c>
      <c r="E16" s="18"/>
      <c r="F16" s="647" t="s">
        <v>63</v>
      </c>
      <c r="G16" s="498"/>
      <c r="H16" s="650"/>
      <c r="I16" s="3"/>
      <c r="J16" s="653"/>
      <c r="K16" s="3"/>
      <c r="L16" s="663">
        <f t="shared" si="1"/>
        <v>0</v>
      </c>
      <c r="M16" s="495"/>
      <c r="N16" s="665">
        <f>L16*J6</f>
        <v>0</v>
      </c>
      <c r="O16" s="495"/>
      <c r="P16" s="665">
        <f>IF(Consolidado_Geral!$G$133=7.6%,-(0.0165+0.076)*N16,0)</f>
        <v>0</v>
      </c>
      <c r="Q16" s="495"/>
      <c r="R16" s="665">
        <f t="shared" si="0"/>
        <v>0</v>
      </c>
      <c r="S16" s="496"/>
    </row>
    <row r="17" spans="1:20" s="497" customFormat="1" ht="14.25" customHeight="1">
      <c r="A17" s="495"/>
      <c r="B17" s="77" t="s">
        <v>71</v>
      </c>
      <c r="C17" s="18"/>
      <c r="D17" s="644">
        <v>1</v>
      </c>
      <c r="E17" s="18"/>
      <c r="F17" s="647" t="s">
        <v>63</v>
      </c>
      <c r="G17" s="498"/>
      <c r="H17" s="650"/>
      <c r="I17" s="3"/>
      <c r="J17" s="653"/>
      <c r="K17" s="3"/>
      <c r="L17" s="663">
        <f t="shared" si="1"/>
        <v>0</v>
      </c>
      <c r="M17" s="495"/>
      <c r="N17" s="665">
        <f>L17*J6</f>
        <v>0</v>
      </c>
      <c r="O17" s="495"/>
      <c r="P17" s="665">
        <f>IF(Consolidado_Geral!$G$133=7.6%,-(0.0165+0.076)*N17,0)</f>
        <v>0</v>
      </c>
      <c r="Q17" s="495"/>
      <c r="R17" s="665">
        <f t="shared" si="0"/>
        <v>0</v>
      </c>
      <c r="S17" s="496"/>
    </row>
    <row r="18" spans="1:20" s="497" customFormat="1" ht="14.25" customHeight="1">
      <c r="A18" s="495"/>
      <c r="B18" s="680" t="s">
        <v>72</v>
      </c>
      <c r="C18" s="499"/>
      <c r="D18" s="644">
        <v>1</v>
      </c>
      <c r="E18" s="499"/>
      <c r="F18" s="648" t="s">
        <v>63</v>
      </c>
      <c r="G18" s="500"/>
      <c r="H18" s="650"/>
      <c r="I18" s="3"/>
      <c r="J18" s="653"/>
      <c r="K18" s="3"/>
      <c r="L18" s="663">
        <f t="shared" si="1"/>
        <v>0</v>
      </c>
      <c r="M18" s="495"/>
      <c r="N18" s="665">
        <f>L18*J6</f>
        <v>0</v>
      </c>
      <c r="O18" s="495"/>
      <c r="P18" s="665">
        <f>IF(Consolidado_Geral!$G$133=7.6%,-(0.0165+0.076)*N18,0)</f>
        <v>0</v>
      </c>
      <c r="Q18" s="495"/>
      <c r="R18" s="665">
        <f t="shared" si="0"/>
        <v>0</v>
      </c>
      <c r="S18" s="496"/>
    </row>
    <row r="19" spans="1:20" s="497" customFormat="1" ht="14.25" customHeight="1">
      <c r="A19" s="495"/>
      <c r="B19" s="77" t="s">
        <v>73</v>
      </c>
      <c r="C19" s="18"/>
      <c r="D19" s="644">
        <v>1</v>
      </c>
      <c r="E19" s="18"/>
      <c r="F19" s="648" t="s">
        <v>29</v>
      </c>
      <c r="G19" s="500"/>
      <c r="H19" s="650"/>
      <c r="I19" s="3"/>
      <c r="J19" s="653"/>
      <c r="K19" s="3"/>
      <c r="L19" s="663">
        <f t="shared" si="1"/>
        <v>0</v>
      </c>
      <c r="M19" s="495"/>
      <c r="N19" s="665">
        <f>L19*J6</f>
        <v>0</v>
      </c>
      <c r="O19" s="495"/>
      <c r="P19" s="665">
        <f>IF(Consolidado_Geral!$G$133=7.6%,-(0.0165+0.076)*N19,0)</f>
        <v>0</v>
      </c>
      <c r="Q19" s="495"/>
      <c r="R19" s="665">
        <f t="shared" si="0"/>
        <v>0</v>
      </c>
      <c r="S19" s="496"/>
    </row>
    <row r="20" spans="1:20" s="497" customFormat="1" ht="14.25" customHeight="1" thickBot="1">
      <c r="A20" s="495"/>
      <c r="B20" s="66" t="s">
        <v>76</v>
      </c>
      <c r="C20" s="3"/>
      <c r="D20" s="645"/>
      <c r="E20" s="3"/>
      <c r="F20" s="649" t="s">
        <v>29</v>
      </c>
      <c r="G20" s="3"/>
      <c r="H20" s="650"/>
      <c r="I20" s="3"/>
      <c r="J20" s="653"/>
      <c r="K20" s="3"/>
      <c r="L20" s="663">
        <f t="shared" si="1"/>
        <v>0</v>
      </c>
      <c r="M20" s="495"/>
      <c r="N20" s="665">
        <f>L20*J6</f>
        <v>0</v>
      </c>
      <c r="O20" s="495"/>
      <c r="P20" s="665">
        <f>IF(Consolidado_Geral!$G$133=7.6%,-(0.0165+0.076)*N20,0)</f>
        <v>0</v>
      </c>
      <c r="Q20" s="495"/>
      <c r="R20" s="665">
        <f t="shared" si="0"/>
        <v>0</v>
      </c>
      <c r="S20" s="496"/>
    </row>
    <row r="21" spans="1:20" ht="14.25" customHeight="1" thickBot="1">
      <c r="A21" s="490"/>
      <c r="B21" s="681" t="s">
        <v>230</v>
      </c>
      <c r="C21" s="3"/>
      <c r="D21" s="497"/>
      <c r="E21" s="3"/>
      <c r="F21" s="500"/>
      <c r="G21" s="3"/>
      <c r="H21" s="652"/>
      <c r="I21" s="3"/>
      <c r="J21" s="553">
        <v>2.5000000000000001E-3</v>
      </c>
      <c r="K21" s="3"/>
      <c r="L21" s="664">
        <f>IF(H21&gt;0,J21*(R6-(D13*J13))/H21,0)</f>
        <v>0</v>
      </c>
      <c r="M21" s="490"/>
      <c r="N21" s="666">
        <f>L21*J6</f>
        <v>0</v>
      </c>
      <c r="O21" s="490"/>
      <c r="P21" s="666">
        <f>IF(Consolidado_Geral!$G$133=7.6%,-(0.0165+0.076)*N21,0)</f>
        <v>0</v>
      </c>
      <c r="Q21" s="490"/>
      <c r="R21" s="666">
        <f t="shared" si="0"/>
        <v>0</v>
      </c>
      <c r="S21" s="491"/>
    </row>
    <row r="22" spans="1:20" ht="4.5" customHeight="1">
      <c r="A22" s="490"/>
      <c r="B22" s="490"/>
      <c r="C22" s="490"/>
      <c r="D22" s="490"/>
      <c r="E22" s="3"/>
      <c r="F22" s="4"/>
      <c r="G22" s="4"/>
      <c r="H22" s="4"/>
      <c r="I22" s="4"/>
      <c r="J22" s="4"/>
      <c r="K22" s="3"/>
      <c r="L22" s="4"/>
      <c r="M22" s="490"/>
      <c r="N22" s="490"/>
      <c r="O22" s="490"/>
      <c r="P22" s="490"/>
      <c r="Q22" s="490"/>
      <c r="R22" s="490"/>
      <c r="S22" s="491"/>
    </row>
    <row r="23" spans="1:20" s="497" customFormat="1" ht="16.5" customHeight="1" thickBot="1">
      <c r="A23" s="495"/>
      <c r="B23" s="3"/>
      <c r="C23" s="3"/>
      <c r="D23" s="44"/>
      <c r="E23" s="3"/>
      <c r="F23" s="3"/>
      <c r="G23" s="3"/>
      <c r="H23" s="501"/>
      <c r="I23" s="36"/>
      <c r="J23" s="682" t="s">
        <v>109</v>
      </c>
      <c r="K23" s="502"/>
      <c r="L23" s="667">
        <f>SUM(L12:L20)</f>
        <v>0</v>
      </c>
      <c r="M23" s="495"/>
      <c r="N23" s="668">
        <f>SUM(N12:N20)</f>
        <v>0</v>
      </c>
      <c r="O23" s="495"/>
      <c r="P23" s="668">
        <f>SUM(P12:P20)</f>
        <v>0</v>
      </c>
      <c r="Q23" s="495"/>
      <c r="R23" s="668">
        <f>SUM(R12:R21)</f>
        <v>0</v>
      </c>
      <c r="S23" s="496"/>
      <c r="T23" s="503"/>
    </row>
    <row r="24" spans="1:20" ht="8.25" customHeight="1">
      <c r="A24" s="490"/>
      <c r="B24" s="4"/>
      <c r="C24" s="4"/>
      <c r="D24" s="10"/>
      <c r="E24" s="3"/>
      <c r="F24" s="504"/>
      <c r="G24" s="4"/>
      <c r="H24" s="490"/>
      <c r="I24" s="490"/>
      <c r="J24" s="505"/>
      <c r="K24" s="3"/>
      <c r="L24" s="4"/>
      <c r="M24" s="490"/>
      <c r="N24" s="490"/>
      <c r="O24" s="490"/>
      <c r="P24" s="490"/>
      <c r="Q24" s="490"/>
      <c r="R24" s="490"/>
      <c r="S24" s="491"/>
    </row>
    <row r="25" spans="1:20" s="507" customFormat="1" ht="16.5" customHeight="1" thickBot="1">
      <c r="A25" s="492"/>
      <c r="B25" s="639"/>
      <c r="C25" s="640"/>
      <c r="D25" s="640"/>
      <c r="E25" s="640"/>
      <c r="F25" s="640"/>
      <c r="G25" s="641"/>
      <c r="H25" s="640"/>
      <c r="I25" s="640"/>
      <c r="J25" s="656" t="s">
        <v>43</v>
      </c>
      <c r="K25" s="640"/>
      <c r="L25" s="640"/>
      <c r="M25" s="641"/>
      <c r="N25" s="641"/>
      <c r="O25" s="641"/>
      <c r="P25" s="641"/>
      <c r="Q25" s="641"/>
      <c r="R25" s="642"/>
      <c r="S25" s="506"/>
    </row>
    <row r="26" spans="1:20" ht="13.5" customHeight="1">
      <c r="A26" s="490"/>
      <c r="B26" s="6"/>
      <c r="C26" s="6"/>
      <c r="D26" s="6"/>
      <c r="E26" s="6"/>
      <c r="F26" s="6"/>
      <c r="G26" s="6"/>
      <c r="H26" s="6"/>
      <c r="I26" s="6"/>
      <c r="J26" s="669" t="s">
        <v>81</v>
      </c>
      <c r="K26" s="508"/>
      <c r="L26" s="669" t="s">
        <v>82</v>
      </c>
      <c r="M26" s="490"/>
      <c r="N26" s="490"/>
      <c r="O26" s="490"/>
      <c r="P26" s="490"/>
      <c r="Q26" s="490"/>
      <c r="R26" s="490"/>
      <c r="S26" s="491"/>
    </row>
    <row r="27" spans="1:20" ht="16.5" customHeight="1" thickBot="1">
      <c r="A27" s="490"/>
      <c r="B27" s="100" t="s">
        <v>231</v>
      </c>
      <c r="C27" s="672"/>
      <c r="D27" s="672"/>
      <c r="E27" s="672"/>
      <c r="F27" s="672"/>
      <c r="G27" s="672"/>
      <c r="H27" s="672"/>
      <c r="I27" s="6"/>
      <c r="J27" s="654"/>
      <c r="K27" s="6"/>
      <c r="L27" s="670">
        <f>J27/12</f>
        <v>0</v>
      </c>
      <c r="M27" s="490"/>
      <c r="N27" s="490"/>
      <c r="O27" s="490"/>
      <c r="P27" s="490"/>
      <c r="Q27" s="490"/>
      <c r="R27" s="490"/>
      <c r="S27" s="491"/>
    </row>
    <row r="28" spans="1:20" ht="3.75" customHeight="1">
      <c r="A28" s="490"/>
      <c r="B28" s="672"/>
      <c r="C28" s="672"/>
      <c r="D28" s="672"/>
      <c r="E28" s="672"/>
      <c r="F28" s="672"/>
      <c r="G28" s="672"/>
      <c r="H28" s="672"/>
      <c r="I28" s="6"/>
      <c r="J28" s="6"/>
      <c r="K28" s="6"/>
      <c r="L28" s="671"/>
      <c r="M28" s="490"/>
      <c r="N28" s="490"/>
      <c r="O28" s="490"/>
      <c r="P28" s="490"/>
      <c r="Q28" s="490"/>
      <c r="R28" s="490"/>
      <c r="S28" s="491"/>
    </row>
    <row r="29" spans="1:20" ht="16.5" customHeight="1" thickBot="1">
      <c r="A29" s="490"/>
      <c r="B29" s="101" t="s">
        <v>77</v>
      </c>
      <c r="C29" s="672"/>
      <c r="D29" s="672"/>
      <c r="E29" s="672"/>
      <c r="F29" s="672"/>
      <c r="G29" s="672"/>
      <c r="H29" s="672"/>
      <c r="I29" s="6"/>
      <c r="J29" s="654"/>
      <c r="K29" s="6"/>
      <c r="L29" s="670">
        <f>J29/12</f>
        <v>0</v>
      </c>
      <c r="M29" s="490"/>
      <c r="N29" s="490"/>
      <c r="O29" s="490"/>
      <c r="P29" s="560" t="s">
        <v>178</v>
      </c>
      <c r="Q29" s="490"/>
      <c r="R29" s="675">
        <f>L27+L29</f>
        <v>0</v>
      </c>
      <c r="S29" s="491"/>
    </row>
    <row r="30" spans="1:20">
      <c r="A30" s="490"/>
      <c r="B30" s="4"/>
      <c r="C30" s="4"/>
      <c r="D30" s="10"/>
      <c r="E30" s="3"/>
      <c r="F30" s="4"/>
      <c r="G30" s="4"/>
      <c r="H30" s="492"/>
      <c r="I30" s="492"/>
      <c r="J30" s="505"/>
      <c r="K30" s="3"/>
      <c r="L30" s="4"/>
      <c r="M30" s="490"/>
      <c r="N30" s="490"/>
      <c r="O30" s="490"/>
      <c r="P30" s="490"/>
      <c r="Q30" s="490"/>
      <c r="R30" s="490"/>
      <c r="S30" s="491"/>
    </row>
    <row r="31" spans="1:20" ht="21.75" customHeight="1" thickBot="1">
      <c r="A31" s="490"/>
      <c r="B31" s="490"/>
      <c r="C31" s="490"/>
      <c r="D31" s="490"/>
      <c r="E31" s="3"/>
      <c r="F31" s="4"/>
      <c r="G31" s="4"/>
      <c r="H31" s="492"/>
      <c r="I31" s="492"/>
      <c r="J31" s="490"/>
      <c r="K31" s="509"/>
      <c r="L31" s="490"/>
      <c r="M31" s="490"/>
      <c r="N31" s="490"/>
      <c r="O31" s="492"/>
      <c r="P31" s="673" t="s">
        <v>44</v>
      </c>
      <c r="Q31" s="643"/>
      <c r="R31" s="674">
        <f>IF(J6&gt;0,R23+R29,0)</f>
        <v>0</v>
      </c>
      <c r="S31" s="491"/>
    </row>
    <row r="32" spans="1:20">
      <c r="B32" s="510"/>
      <c r="C32" s="510"/>
      <c r="D32" s="510"/>
      <c r="E32" s="510"/>
      <c r="F32" s="510"/>
      <c r="G32" s="510"/>
      <c r="H32" s="510"/>
      <c r="I32" s="510"/>
      <c r="J32" s="510"/>
      <c r="K32" s="510"/>
      <c r="L32" s="510"/>
    </row>
    <row r="33" spans="1:19">
      <c r="B33" s="510"/>
      <c r="C33" s="510"/>
      <c r="D33" s="510"/>
      <c r="E33" s="510"/>
      <c r="F33" s="510"/>
      <c r="G33" s="510"/>
      <c r="H33" s="510"/>
      <c r="I33" s="510"/>
      <c r="J33" s="510"/>
      <c r="K33" s="510"/>
      <c r="L33" s="510"/>
    </row>
    <row r="37" spans="1:19">
      <c r="A37" s="490"/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1"/>
    </row>
    <row r="38" spans="1:19" ht="22.5" customHeight="1" thickBot="1">
      <c r="A38" s="490"/>
      <c r="B38" s="1073" t="s">
        <v>401</v>
      </c>
      <c r="C38" s="1074"/>
      <c r="D38" s="1074"/>
      <c r="E38" s="1074"/>
      <c r="F38" s="1074"/>
      <c r="G38" s="1074"/>
      <c r="H38" s="1074"/>
      <c r="I38" s="1074"/>
      <c r="J38" s="1074"/>
      <c r="K38" s="1074"/>
      <c r="L38" s="1074"/>
      <c r="M38" s="1074"/>
      <c r="N38" s="1074"/>
      <c r="O38" s="1074"/>
      <c r="P38" s="1074"/>
      <c r="Q38" s="1074"/>
      <c r="R38" s="1075"/>
      <c r="S38" s="491"/>
    </row>
    <row r="39" spans="1:19">
      <c r="A39" s="490"/>
      <c r="B39" s="6"/>
      <c r="C39" s="6"/>
      <c r="D39" s="6"/>
      <c r="E39" s="6"/>
      <c r="F39" s="6"/>
      <c r="G39" s="6"/>
      <c r="H39" s="6"/>
      <c r="I39" s="6"/>
      <c r="J39" s="6"/>
      <c r="K39" s="6"/>
      <c r="L39" s="490"/>
      <c r="M39" s="490"/>
      <c r="N39" s="490"/>
      <c r="O39" s="490"/>
      <c r="P39" s="490"/>
      <c r="Q39" s="490"/>
      <c r="R39" s="490"/>
      <c r="S39" s="491"/>
    </row>
    <row r="40" spans="1:19" ht="13.5" thickBot="1">
      <c r="A40" s="490"/>
      <c r="B40" s="676"/>
      <c r="C40" s="66"/>
      <c r="D40" s="677"/>
      <c r="E40" s="77"/>
      <c r="F40" s="678"/>
      <c r="G40" s="679"/>
      <c r="H40" s="73" t="s">
        <v>402</v>
      </c>
      <c r="I40" s="490"/>
      <c r="J40" s="655"/>
      <c r="K40" s="698" t="s">
        <v>495</v>
      </c>
      <c r="L40" s="491"/>
      <c r="N40" s="490"/>
      <c r="O40" s="490"/>
      <c r="P40" s="699" t="s">
        <v>403</v>
      </c>
      <c r="Q40" s="490"/>
      <c r="R40" s="654"/>
      <c r="S40" s="491"/>
    </row>
    <row r="41" spans="1:19">
      <c r="A41" s="490"/>
      <c r="B41" s="3"/>
      <c r="C41" s="3"/>
      <c r="D41" s="8"/>
      <c r="E41" s="18"/>
      <c r="F41" s="492"/>
      <c r="G41" s="3"/>
      <c r="H41" s="492"/>
      <c r="I41" s="492"/>
      <c r="J41" s="493"/>
      <c r="K41" s="490"/>
      <c r="L41" s="494"/>
      <c r="M41" s="490"/>
      <c r="N41" s="490"/>
      <c r="O41" s="490"/>
      <c r="P41" s="490"/>
      <c r="Q41" s="490"/>
      <c r="R41" s="490"/>
      <c r="S41" s="491"/>
    </row>
    <row r="42" spans="1:19" ht="13.5" thickBot="1">
      <c r="A42" s="490"/>
      <c r="B42" s="657"/>
      <c r="C42" s="656"/>
      <c r="D42" s="656"/>
      <c r="E42" s="656"/>
      <c r="F42" s="656"/>
      <c r="G42" s="538"/>
      <c r="H42" s="656"/>
      <c r="I42" s="656"/>
      <c r="J42" s="656" t="s">
        <v>19</v>
      </c>
      <c r="K42" s="656"/>
      <c r="L42" s="656"/>
      <c r="M42" s="538"/>
      <c r="N42" s="538"/>
      <c r="O42" s="538"/>
      <c r="P42" s="538"/>
      <c r="Q42" s="538"/>
      <c r="R42" s="539"/>
      <c r="S42" s="491"/>
    </row>
    <row r="43" spans="1:19">
      <c r="A43" s="490"/>
      <c r="B43" s="3"/>
      <c r="C43" s="3"/>
      <c r="D43" s="3"/>
      <c r="E43" s="3"/>
      <c r="F43" s="4"/>
      <c r="G43" s="4"/>
      <c r="H43" s="4"/>
      <c r="I43" s="4"/>
      <c r="J43" s="4"/>
      <c r="K43" s="3"/>
      <c r="L43" s="490"/>
      <c r="M43" s="490"/>
      <c r="N43" s="490"/>
      <c r="O43" s="490"/>
      <c r="P43" s="490"/>
      <c r="Q43" s="490"/>
      <c r="R43" s="490"/>
      <c r="S43" s="491"/>
    </row>
    <row r="44" spans="1:19" ht="26.25" thickBot="1">
      <c r="A44" s="490"/>
      <c r="B44" s="658" t="s">
        <v>100</v>
      </c>
      <c r="C44" s="659"/>
      <c r="D44" s="656" t="s">
        <v>65</v>
      </c>
      <c r="E44" s="659"/>
      <c r="F44" s="660" t="s">
        <v>66</v>
      </c>
      <c r="G44" s="660"/>
      <c r="H44" s="659" t="s">
        <v>67</v>
      </c>
      <c r="I44" s="581"/>
      <c r="J44" s="656" t="s">
        <v>64</v>
      </c>
      <c r="K44" s="581"/>
      <c r="L44" s="656" t="s">
        <v>404</v>
      </c>
      <c r="M44" s="538"/>
      <c r="N44" s="656" t="s">
        <v>17</v>
      </c>
      <c r="O44" s="538"/>
      <c r="P44" s="661" t="s">
        <v>85</v>
      </c>
      <c r="Q44" s="538"/>
      <c r="R44" s="662" t="s">
        <v>109</v>
      </c>
      <c r="S44" s="491"/>
    </row>
    <row r="45" spans="1:19">
      <c r="A45" s="490"/>
      <c r="B45" s="43"/>
      <c r="C45" s="43"/>
      <c r="D45" s="6"/>
      <c r="E45" s="43"/>
      <c r="F45" s="6"/>
      <c r="G45" s="6"/>
      <c r="H45" s="43"/>
      <c r="I45" s="3"/>
      <c r="J45" s="6"/>
      <c r="K45" s="3"/>
      <c r="L45" s="4"/>
      <c r="M45" s="490"/>
      <c r="N45" s="490"/>
      <c r="O45" s="490"/>
      <c r="P45" s="490"/>
      <c r="Q45" s="490"/>
      <c r="R45" s="490"/>
      <c r="S45" s="491"/>
    </row>
    <row r="46" spans="1:19">
      <c r="A46" s="495"/>
      <c r="B46" s="77" t="s">
        <v>75</v>
      </c>
      <c r="C46" s="43"/>
      <c r="D46" s="644">
        <v>4</v>
      </c>
      <c r="E46" s="18"/>
      <c r="F46" s="646" t="s">
        <v>29</v>
      </c>
      <c r="G46" s="43"/>
      <c r="H46" s="650"/>
      <c r="I46" s="3"/>
      <c r="J46" s="653"/>
      <c r="K46" s="3"/>
      <c r="L46" s="663">
        <f>IF(H46&gt;0,(J46*D46)/H46,0)</f>
        <v>0</v>
      </c>
      <c r="M46" s="495"/>
      <c r="N46" s="665">
        <f>L46*J40</f>
        <v>0</v>
      </c>
      <c r="O46" s="495"/>
      <c r="P46" s="665">
        <f>IF(Consolidado_Geral!$G$133=7.6%,-(0.0165+0.076)*N46,0)</f>
        <v>0</v>
      </c>
      <c r="Q46" s="495"/>
      <c r="R46" s="665">
        <f t="shared" ref="R46:R55" si="2">N46+P46</f>
        <v>0</v>
      </c>
      <c r="S46" s="496"/>
    </row>
    <row r="47" spans="1:19">
      <c r="A47" s="495"/>
      <c r="B47" s="77" t="s">
        <v>74</v>
      </c>
      <c r="C47" s="18"/>
      <c r="D47" s="644">
        <v>1</v>
      </c>
      <c r="E47" s="18"/>
      <c r="F47" s="646" t="s">
        <v>63</v>
      </c>
      <c r="G47" s="43"/>
      <c r="H47" s="651"/>
      <c r="I47" s="3"/>
      <c r="J47" s="653"/>
      <c r="K47" s="3"/>
      <c r="L47" s="663">
        <f>IF(H47&gt;0,(J47*D47)/H47,0)</f>
        <v>0</v>
      </c>
      <c r="M47" s="495"/>
      <c r="N47" s="665">
        <f>L47*J40</f>
        <v>0</v>
      </c>
      <c r="O47" s="495"/>
      <c r="P47" s="665">
        <f>IF(Consolidado_Geral!$G$133=7.6%,-(0.0165+0.076)*N47,0)</f>
        <v>0</v>
      </c>
      <c r="Q47" s="495"/>
      <c r="R47" s="665">
        <f t="shared" si="2"/>
        <v>0</v>
      </c>
      <c r="S47" s="496"/>
    </row>
    <row r="48" spans="1:19">
      <c r="A48" s="495"/>
      <c r="B48" s="77" t="s">
        <v>68</v>
      </c>
      <c r="C48" s="18"/>
      <c r="D48" s="644"/>
      <c r="E48" s="18"/>
      <c r="F48" s="647" t="s">
        <v>63</v>
      </c>
      <c r="G48" s="498"/>
      <c r="H48" s="650"/>
      <c r="I48" s="3"/>
      <c r="J48" s="653"/>
      <c r="K48" s="3"/>
      <c r="L48" s="663">
        <f t="shared" ref="L48:L54" si="3">IF(H48&gt;0,(J48*D48)/H48,0)</f>
        <v>0</v>
      </c>
      <c r="M48" s="495"/>
      <c r="N48" s="665">
        <f>L48*J40</f>
        <v>0</v>
      </c>
      <c r="O48" s="495"/>
      <c r="P48" s="665">
        <f>IF(Consolidado_Geral!$G$133=7.6%,-(0.0165+0.076)*N48,0)</f>
        <v>0</v>
      </c>
      <c r="Q48" s="495"/>
      <c r="R48" s="665">
        <f t="shared" si="2"/>
        <v>0</v>
      </c>
      <c r="S48" s="496"/>
    </row>
    <row r="49" spans="1:19">
      <c r="A49" s="495"/>
      <c r="B49" s="77" t="s">
        <v>69</v>
      </c>
      <c r="C49" s="18"/>
      <c r="D49" s="644">
        <v>1</v>
      </c>
      <c r="E49" s="18"/>
      <c r="F49" s="647" t="s">
        <v>63</v>
      </c>
      <c r="G49" s="498"/>
      <c r="H49" s="650"/>
      <c r="I49" s="3"/>
      <c r="J49" s="653"/>
      <c r="K49" s="3"/>
      <c r="L49" s="663">
        <f t="shared" si="3"/>
        <v>0</v>
      </c>
      <c r="M49" s="495"/>
      <c r="N49" s="665">
        <f>L49*J40</f>
        <v>0</v>
      </c>
      <c r="O49" s="495"/>
      <c r="P49" s="665">
        <f>IF(Consolidado_Geral!$G$133=7.6%,-(0.0165+0.076)*N49,0)</f>
        <v>0</v>
      </c>
      <c r="Q49" s="495"/>
      <c r="R49" s="665">
        <f t="shared" si="2"/>
        <v>0</v>
      </c>
      <c r="S49" s="496"/>
    </row>
    <row r="50" spans="1:19">
      <c r="A50" s="495"/>
      <c r="B50" s="77" t="s">
        <v>70</v>
      </c>
      <c r="C50" s="18"/>
      <c r="D50" s="644">
        <v>1</v>
      </c>
      <c r="E50" s="18"/>
      <c r="F50" s="647" t="s">
        <v>63</v>
      </c>
      <c r="G50" s="498"/>
      <c r="H50" s="650"/>
      <c r="I50" s="3"/>
      <c r="J50" s="653"/>
      <c r="K50" s="3"/>
      <c r="L50" s="663">
        <f t="shared" si="3"/>
        <v>0</v>
      </c>
      <c r="M50" s="495"/>
      <c r="N50" s="665">
        <f>L50*J40</f>
        <v>0</v>
      </c>
      <c r="O50" s="495"/>
      <c r="P50" s="665">
        <f>IF(Consolidado_Geral!$G$133=7.6%,-(0.0165+0.076)*N50,0)</f>
        <v>0</v>
      </c>
      <c r="Q50" s="495"/>
      <c r="R50" s="665">
        <f t="shared" si="2"/>
        <v>0</v>
      </c>
      <c r="S50" s="496"/>
    </row>
    <row r="51" spans="1:19">
      <c r="A51" s="495"/>
      <c r="B51" s="77" t="s">
        <v>71</v>
      </c>
      <c r="C51" s="18"/>
      <c r="D51" s="644">
        <v>1</v>
      </c>
      <c r="E51" s="18"/>
      <c r="F51" s="647" t="s">
        <v>63</v>
      </c>
      <c r="G51" s="498"/>
      <c r="H51" s="650"/>
      <c r="I51" s="3"/>
      <c r="J51" s="653"/>
      <c r="K51" s="3"/>
      <c r="L51" s="663">
        <f t="shared" si="3"/>
        <v>0</v>
      </c>
      <c r="M51" s="495"/>
      <c r="N51" s="665">
        <f>L51*J40</f>
        <v>0</v>
      </c>
      <c r="O51" s="495"/>
      <c r="P51" s="665">
        <f>IF(Consolidado_Geral!$G$133=7.6%,-(0.0165+0.076)*N51,0)</f>
        <v>0</v>
      </c>
      <c r="Q51" s="495"/>
      <c r="R51" s="665">
        <f t="shared" si="2"/>
        <v>0</v>
      </c>
      <c r="S51" s="496"/>
    </row>
    <row r="52" spans="1:19">
      <c r="A52" s="495"/>
      <c r="B52" s="680" t="s">
        <v>72</v>
      </c>
      <c r="C52" s="499"/>
      <c r="D52" s="644">
        <v>1</v>
      </c>
      <c r="E52" s="499"/>
      <c r="F52" s="648" t="s">
        <v>63</v>
      </c>
      <c r="G52" s="500"/>
      <c r="H52" s="650"/>
      <c r="I52" s="3"/>
      <c r="J52" s="653"/>
      <c r="K52" s="3"/>
      <c r="L52" s="663">
        <f t="shared" si="3"/>
        <v>0</v>
      </c>
      <c r="M52" s="495"/>
      <c r="N52" s="665">
        <f>L52*J40</f>
        <v>0</v>
      </c>
      <c r="O52" s="495"/>
      <c r="P52" s="665">
        <f>IF(Consolidado_Geral!$G$133=7.6%,-(0.0165+0.076)*N52,0)</f>
        <v>0</v>
      </c>
      <c r="Q52" s="495"/>
      <c r="R52" s="665">
        <f t="shared" si="2"/>
        <v>0</v>
      </c>
      <c r="S52" s="496"/>
    </row>
    <row r="53" spans="1:19">
      <c r="A53" s="495"/>
      <c r="B53" s="77" t="s">
        <v>73</v>
      </c>
      <c r="C53" s="18"/>
      <c r="D53" s="644">
        <v>1</v>
      </c>
      <c r="E53" s="18"/>
      <c r="F53" s="648" t="s">
        <v>29</v>
      </c>
      <c r="G53" s="500"/>
      <c r="H53" s="650"/>
      <c r="I53" s="3"/>
      <c r="J53" s="653"/>
      <c r="K53" s="3"/>
      <c r="L53" s="663">
        <f t="shared" si="3"/>
        <v>0</v>
      </c>
      <c r="M53" s="495"/>
      <c r="N53" s="665">
        <f>L53*J40</f>
        <v>0</v>
      </c>
      <c r="O53" s="495"/>
      <c r="P53" s="665">
        <f>IF(Consolidado_Geral!$G$133=7.6%,-(0.0165+0.076)*N53,0)</f>
        <v>0</v>
      </c>
      <c r="Q53" s="495"/>
      <c r="R53" s="665">
        <f t="shared" si="2"/>
        <v>0</v>
      </c>
      <c r="S53" s="496"/>
    </row>
    <row r="54" spans="1:19" ht="13.5" thickBot="1">
      <c r="A54" s="495"/>
      <c r="B54" s="66" t="s">
        <v>76</v>
      </c>
      <c r="C54" s="3"/>
      <c r="D54" s="645"/>
      <c r="E54" s="3"/>
      <c r="F54" s="649" t="s">
        <v>29</v>
      </c>
      <c r="G54" s="3"/>
      <c r="H54" s="650"/>
      <c r="I54" s="3"/>
      <c r="J54" s="653"/>
      <c r="K54" s="3"/>
      <c r="L54" s="663">
        <f t="shared" si="3"/>
        <v>0</v>
      </c>
      <c r="M54" s="495"/>
      <c r="N54" s="665">
        <f>L54*J40</f>
        <v>0</v>
      </c>
      <c r="O54" s="495"/>
      <c r="P54" s="665">
        <f>IF(Consolidado_Geral!$G$133=7.6%,-(0.0165+0.076)*N54,0)</f>
        <v>0</v>
      </c>
      <c r="Q54" s="495"/>
      <c r="R54" s="665">
        <f t="shared" si="2"/>
        <v>0</v>
      </c>
      <c r="S54" s="496"/>
    </row>
    <row r="55" spans="1:19" ht="13.5" thickBot="1">
      <c r="A55" s="490"/>
      <c r="B55" s="681" t="s">
        <v>230</v>
      </c>
      <c r="C55" s="3"/>
      <c r="D55" s="497"/>
      <c r="E55" s="3"/>
      <c r="F55" s="500"/>
      <c r="G55" s="3"/>
      <c r="H55" s="652"/>
      <c r="I55" s="3"/>
      <c r="J55" s="553">
        <v>2.5000000000000001E-3</v>
      </c>
      <c r="K55" s="3"/>
      <c r="L55" s="664">
        <f>IF(H55&gt;0,J55*(R40-(D47*J47))/H55,0)</f>
        <v>0</v>
      </c>
      <c r="M55" s="490"/>
      <c r="N55" s="666">
        <f>L55*J40</f>
        <v>0</v>
      </c>
      <c r="O55" s="490"/>
      <c r="P55" s="666">
        <f>IF(Consolidado_Geral!$G$133=7.6%,-(0.0165+0.076)*N55,0)</f>
        <v>0</v>
      </c>
      <c r="Q55" s="490"/>
      <c r="R55" s="666">
        <f t="shared" si="2"/>
        <v>0</v>
      </c>
      <c r="S55" s="491"/>
    </row>
    <row r="56" spans="1:19">
      <c r="A56" s="490"/>
      <c r="B56" s="490"/>
      <c r="C56" s="490"/>
      <c r="D56" s="490"/>
      <c r="E56" s="3"/>
      <c r="F56" s="4"/>
      <c r="G56" s="4"/>
      <c r="H56" s="4"/>
      <c r="I56" s="4"/>
      <c r="J56" s="4"/>
      <c r="K56" s="3"/>
      <c r="L56" s="4"/>
      <c r="M56" s="490"/>
      <c r="N56" s="490"/>
      <c r="O56" s="490"/>
      <c r="P56" s="490"/>
      <c r="Q56" s="490"/>
      <c r="R56" s="490"/>
      <c r="S56" s="491"/>
    </row>
    <row r="57" spans="1:19" ht="13.5" thickBot="1">
      <c r="A57" s="495"/>
      <c r="B57" s="3"/>
      <c r="C57" s="3"/>
      <c r="D57" s="44"/>
      <c r="E57" s="3"/>
      <c r="F57" s="3"/>
      <c r="G57" s="3"/>
      <c r="H57" s="501"/>
      <c r="I57" s="36"/>
      <c r="J57" s="682" t="s">
        <v>109</v>
      </c>
      <c r="K57" s="502"/>
      <c r="L57" s="667">
        <f>SUM(L46:L54)</f>
        <v>0</v>
      </c>
      <c r="M57" s="495"/>
      <c r="N57" s="668">
        <f>SUM(N46:N54)</f>
        <v>0</v>
      </c>
      <c r="O57" s="495"/>
      <c r="P57" s="668">
        <f>SUM(P46:P54)</f>
        <v>0</v>
      </c>
      <c r="Q57" s="495"/>
      <c r="R57" s="668">
        <f>SUM(R46:R55)</f>
        <v>0</v>
      </c>
      <c r="S57" s="496"/>
    </row>
    <row r="58" spans="1:19">
      <c r="A58" s="490"/>
      <c r="B58" s="4"/>
      <c r="C58" s="4"/>
      <c r="D58" s="10"/>
      <c r="E58" s="3"/>
      <c r="F58" s="504"/>
      <c r="G58" s="4"/>
      <c r="H58" s="490"/>
      <c r="I58" s="490"/>
      <c r="J58" s="505"/>
      <c r="K58" s="3"/>
      <c r="L58" s="4"/>
      <c r="M58" s="490"/>
      <c r="N58" s="490"/>
      <c r="O58" s="490"/>
      <c r="P58" s="490"/>
      <c r="Q58" s="490"/>
      <c r="R58" s="490"/>
      <c r="S58" s="491"/>
    </row>
    <row r="59" spans="1:19" ht="13.5" thickBot="1">
      <c r="A59" s="492"/>
      <c r="B59" s="639"/>
      <c r="C59" s="640"/>
      <c r="D59" s="640"/>
      <c r="E59" s="640"/>
      <c r="F59" s="640"/>
      <c r="G59" s="641"/>
      <c r="H59" s="640"/>
      <c r="I59" s="640"/>
      <c r="J59" s="656" t="s">
        <v>43</v>
      </c>
      <c r="K59" s="640"/>
      <c r="L59" s="640"/>
      <c r="M59" s="641"/>
      <c r="N59" s="641"/>
      <c r="O59" s="641"/>
      <c r="P59" s="641"/>
      <c r="Q59" s="641"/>
      <c r="R59" s="642"/>
      <c r="S59" s="506"/>
    </row>
    <row r="60" spans="1:19">
      <c r="A60" s="490"/>
      <c r="B60" s="6"/>
      <c r="C60" s="6"/>
      <c r="D60" s="6"/>
      <c r="E60" s="6"/>
      <c r="F60" s="6"/>
      <c r="G60" s="6"/>
      <c r="H60" s="6"/>
      <c r="I60" s="6"/>
      <c r="J60" s="669" t="s">
        <v>81</v>
      </c>
      <c r="K60" s="508"/>
      <c r="L60" s="669" t="s">
        <v>82</v>
      </c>
      <c r="M60" s="490"/>
      <c r="N60" s="490"/>
      <c r="O60" s="490"/>
      <c r="P60" s="490"/>
      <c r="Q60" s="490"/>
      <c r="R60" s="490"/>
      <c r="S60" s="491"/>
    </row>
    <row r="61" spans="1:19" ht="13.5" thickBot="1">
      <c r="A61" s="490"/>
      <c r="B61" s="100" t="s">
        <v>231</v>
      </c>
      <c r="C61" s="672"/>
      <c r="D61" s="672"/>
      <c r="E61" s="672"/>
      <c r="F61" s="672"/>
      <c r="G61" s="672"/>
      <c r="H61" s="672"/>
      <c r="I61" s="6"/>
      <c r="J61" s="654"/>
      <c r="K61" s="6"/>
      <c r="L61" s="670">
        <f>J61/12</f>
        <v>0</v>
      </c>
      <c r="M61" s="490"/>
      <c r="N61" s="490"/>
      <c r="O61" s="490"/>
      <c r="P61" s="490"/>
      <c r="Q61" s="490"/>
      <c r="R61" s="490"/>
      <c r="S61" s="491"/>
    </row>
    <row r="62" spans="1:19">
      <c r="A62" s="490"/>
      <c r="B62" s="672"/>
      <c r="C62" s="672"/>
      <c r="D62" s="672"/>
      <c r="E62" s="672"/>
      <c r="F62" s="672"/>
      <c r="G62" s="672"/>
      <c r="H62" s="672"/>
      <c r="I62" s="6"/>
      <c r="J62" s="6"/>
      <c r="K62" s="6"/>
      <c r="L62" s="671"/>
      <c r="M62" s="490"/>
      <c r="N62" s="490"/>
      <c r="O62" s="490"/>
      <c r="P62" s="490"/>
      <c r="Q62" s="490"/>
      <c r="R62" s="490"/>
      <c r="S62" s="491"/>
    </row>
    <row r="63" spans="1:19" ht="13.5" thickBot="1">
      <c r="A63" s="490"/>
      <c r="B63" s="101" t="s">
        <v>77</v>
      </c>
      <c r="C63" s="672"/>
      <c r="D63" s="672"/>
      <c r="E63" s="672"/>
      <c r="F63" s="672"/>
      <c r="G63" s="672"/>
      <c r="H63" s="672"/>
      <c r="I63" s="6"/>
      <c r="J63" s="654"/>
      <c r="K63" s="6"/>
      <c r="L63" s="670">
        <f>J63/12</f>
        <v>0</v>
      </c>
      <c r="M63" s="490"/>
      <c r="N63" s="490"/>
      <c r="O63" s="490"/>
      <c r="P63" s="560" t="s">
        <v>178</v>
      </c>
      <c r="Q63" s="490"/>
      <c r="R63" s="675">
        <f>L61+L63</f>
        <v>0</v>
      </c>
      <c r="S63" s="491"/>
    </row>
    <row r="64" spans="1:19">
      <c r="A64" s="490"/>
      <c r="B64" s="4"/>
      <c r="C64" s="4"/>
      <c r="D64" s="10"/>
      <c r="E64" s="3"/>
      <c r="F64" s="4"/>
      <c r="G64" s="4"/>
      <c r="H64" s="492"/>
      <c r="I64" s="492"/>
      <c r="J64" s="505"/>
      <c r="K64" s="3"/>
      <c r="L64" s="4"/>
      <c r="M64" s="490"/>
      <c r="N64" s="490"/>
      <c r="O64" s="490"/>
      <c r="P64" s="490"/>
      <c r="Q64" s="490"/>
      <c r="R64" s="490"/>
      <c r="S64" s="491"/>
    </row>
    <row r="65" spans="1:19" ht="15.75" thickBot="1">
      <c r="A65" s="490"/>
      <c r="B65" s="490"/>
      <c r="C65" s="490"/>
      <c r="D65" s="490"/>
      <c r="E65" s="3"/>
      <c r="F65" s="4"/>
      <c r="G65" s="4"/>
      <c r="H65" s="492"/>
      <c r="I65" s="492"/>
      <c r="J65" s="490"/>
      <c r="K65" s="509"/>
      <c r="L65" s="490"/>
      <c r="M65" s="490"/>
      <c r="N65" s="490"/>
      <c r="O65" s="492"/>
      <c r="P65" s="673" t="s">
        <v>44</v>
      </c>
      <c r="Q65" s="643"/>
      <c r="R65" s="674">
        <f>IF(J40&gt;0,R57+R63,0)</f>
        <v>0</v>
      </c>
      <c r="S65" s="491"/>
    </row>
    <row r="66" spans="1:19">
      <c r="B66" s="510"/>
      <c r="C66" s="510"/>
      <c r="D66" s="510"/>
      <c r="E66" s="510"/>
      <c r="F66" s="510"/>
      <c r="G66" s="510"/>
      <c r="H66" s="510"/>
      <c r="I66" s="510"/>
      <c r="J66" s="510"/>
      <c r="K66" s="510"/>
      <c r="L66" s="510"/>
    </row>
    <row r="67" spans="1:19">
      <c r="A67" s="490"/>
      <c r="B67" s="490"/>
      <c r="C67" s="490"/>
      <c r="D67" s="490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490"/>
      <c r="Q67" s="490"/>
      <c r="R67" s="490"/>
      <c r="S67" s="491"/>
    </row>
    <row r="68" spans="1:19" ht="13.5" thickBot="1">
      <c r="A68" s="490"/>
      <c r="B68" s="1073" t="s">
        <v>401</v>
      </c>
      <c r="C68" s="1074"/>
      <c r="D68" s="1074"/>
      <c r="E68" s="1074"/>
      <c r="F68" s="1074"/>
      <c r="G68" s="1074"/>
      <c r="H68" s="1074"/>
      <c r="I68" s="1074"/>
      <c r="J68" s="1074"/>
      <c r="K68" s="1074"/>
      <c r="L68" s="1074"/>
      <c r="M68" s="1074"/>
      <c r="N68" s="1074"/>
      <c r="O68" s="1074"/>
      <c r="P68" s="1074"/>
      <c r="Q68" s="1074"/>
      <c r="R68" s="1075"/>
      <c r="S68" s="491"/>
    </row>
    <row r="69" spans="1:19">
      <c r="A69" s="490"/>
      <c r="B69" s="6"/>
      <c r="C69" s="6"/>
      <c r="D69" s="6"/>
      <c r="E69" s="6"/>
      <c r="F69" s="6"/>
      <c r="G69" s="6"/>
      <c r="H69" s="6"/>
      <c r="I69" s="6"/>
      <c r="J69" s="6"/>
      <c r="K69" s="6"/>
      <c r="L69" s="490"/>
      <c r="M69" s="490"/>
      <c r="N69" s="490"/>
      <c r="O69" s="490"/>
      <c r="P69" s="490"/>
      <c r="Q69" s="490"/>
      <c r="R69" s="490"/>
      <c r="S69" s="491"/>
    </row>
    <row r="70" spans="1:19" ht="13.5" thickBot="1">
      <c r="A70" s="490"/>
      <c r="B70" s="676"/>
      <c r="C70" s="66"/>
      <c r="D70" s="677"/>
      <c r="E70" s="77"/>
      <c r="F70" s="678"/>
      <c r="G70" s="679"/>
      <c r="H70" s="73" t="s">
        <v>402</v>
      </c>
      <c r="I70" s="490"/>
      <c r="J70" s="655"/>
      <c r="K70" s="698" t="s">
        <v>495</v>
      </c>
      <c r="L70" s="491"/>
      <c r="N70" s="490"/>
      <c r="O70" s="490"/>
      <c r="P70" s="699" t="s">
        <v>403</v>
      </c>
      <c r="Q70" s="490"/>
      <c r="R70" s="654"/>
      <c r="S70" s="491"/>
    </row>
    <row r="71" spans="1:19">
      <c r="A71" s="490"/>
      <c r="B71" s="3"/>
      <c r="C71" s="3"/>
      <c r="D71" s="8"/>
      <c r="E71" s="18"/>
      <c r="F71" s="492"/>
      <c r="G71" s="3"/>
      <c r="H71" s="492"/>
      <c r="I71" s="492"/>
      <c r="J71" s="493"/>
      <c r="K71" s="490"/>
      <c r="L71" s="494"/>
      <c r="M71" s="490"/>
      <c r="N71" s="490"/>
      <c r="O71" s="490"/>
      <c r="P71" s="490"/>
      <c r="Q71" s="490"/>
      <c r="R71" s="490"/>
      <c r="S71" s="491"/>
    </row>
    <row r="72" spans="1:19" ht="13.5" thickBot="1">
      <c r="A72" s="490"/>
      <c r="B72" s="657"/>
      <c r="C72" s="656"/>
      <c r="D72" s="656"/>
      <c r="E72" s="656"/>
      <c r="F72" s="656"/>
      <c r="G72" s="538"/>
      <c r="H72" s="656"/>
      <c r="I72" s="656"/>
      <c r="J72" s="656" t="s">
        <v>19</v>
      </c>
      <c r="K72" s="656"/>
      <c r="L72" s="656"/>
      <c r="M72" s="538"/>
      <c r="N72" s="538"/>
      <c r="O72" s="538"/>
      <c r="P72" s="538"/>
      <c r="Q72" s="538"/>
      <c r="R72" s="539"/>
      <c r="S72" s="491"/>
    </row>
    <row r="73" spans="1:19">
      <c r="A73" s="490"/>
      <c r="B73" s="3"/>
      <c r="C73" s="3"/>
      <c r="D73" s="3"/>
      <c r="E73" s="3"/>
      <c r="F73" s="4"/>
      <c r="G73" s="4"/>
      <c r="H73" s="4"/>
      <c r="I73" s="4"/>
      <c r="J73" s="4"/>
      <c r="K73" s="3"/>
      <c r="L73" s="490"/>
      <c r="M73" s="490"/>
      <c r="N73" s="490"/>
      <c r="O73" s="490"/>
      <c r="P73" s="490"/>
      <c r="Q73" s="490"/>
      <c r="R73" s="490"/>
      <c r="S73" s="491"/>
    </row>
    <row r="74" spans="1:19" ht="26.25" thickBot="1">
      <c r="A74" s="490"/>
      <c r="B74" s="658" t="s">
        <v>100</v>
      </c>
      <c r="C74" s="659"/>
      <c r="D74" s="656" t="s">
        <v>65</v>
      </c>
      <c r="E74" s="659"/>
      <c r="F74" s="660" t="s">
        <v>66</v>
      </c>
      <c r="G74" s="660"/>
      <c r="H74" s="659" t="s">
        <v>67</v>
      </c>
      <c r="I74" s="581"/>
      <c r="J74" s="656" t="s">
        <v>64</v>
      </c>
      <c r="K74" s="581"/>
      <c r="L74" s="656" t="s">
        <v>404</v>
      </c>
      <c r="M74" s="538"/>
      <c r="N74" s="656" t="s">
        <v>17</v>
      </c>
      <c r="O74" s="538"/>
      <c r="P74" s="661" t="s">
        <v>85</v>
      </c>
      <c r="Q74" s="538"/>
      <c r="R74" s="662" t="s">
        <v>109</v>
      </c>
      <c r="S74" s="491"/>
    </row>
    <row r="75" spans="1:19">
      <c r="A75" s="490"/>
      <c r="B75" s="43"/>
      <c r="C75" s="43"/>
      <c r="D75" s="6"/>
      <c r="E75" s="43"/>
      <c r="F75" s="6"/>
      <c r="G75" s="6"/>
      <c r="H75" s="43"/>
      <c r="I75" s="3"/>
      <c r="J75" s="6"/>
      <c r="K75" s="3"/>
      <c r="L75" s="4"/>
      <c r="M75" s="490"/>
      <c r="N75" s="490"/>
      <c r="O75" s="490"/>
      <c r="P75" s="490"/>
      <c r="Q75" s="490"/>
      <c r="R75" s="490"/>
      <c r="S75" s="491"/>
    </row>
    <row r="76" spans="1:19">
      <c r="A76" s="495"/>
      <c r="B76" s="77" t="s">
        <v>75</v>
      </c>
      <c r="C76" s="43"/>
      <c r="D76" s="644">
        <v>4</v>
      </c>
      <c r="E76" s="18"/>
      <c r="F76" s="646" t="s">
        <v>29</v>
      </c>
      <c r="G76" s="43"/>
      <c r="H76" s="650"/>
      <c r="I76" s="3"/>
      <c r="J76" s="653"/>
      <c r="K76" s="3"/>
      <c r="L76" s="663">
        <f>IF(H76&gt;0,(J76*D76)/H76,0)</f>
        <v>0</v>
      </c>
      <c r="M76" s="495"/>
      <c r="N76" s="665">
        <f>L76*J70</f>
        <v>0</v>
      </c>
      <c r="O76" s="495"/>
      <c r="P76" s="665">
        <f>IF(Consolidado_Geral!$G$133=7.6%,-(0.0165+0.076)*N76,0)</f>
        <v>0</v>
      </c>
      <c r="Q76" s="495"/>
      <c r="R76" s="665">
        <f t="shared" ref="R76:R85" si="4">N76+P76</f>
        <v>0</v>
      </c>
      <c r="S76" s="496"/>
    </row>
    <row r="77" spans="1:19">
      <c r="A77" s="495"/>
      <c r="B77" s="77" t="s">
        <v>74</v>
      </c>
      <c r="C77" s="18"/>
      <c r="D77" s="644">
        <v>1</v>
      </c>
      <c r="E77" s="18"/>
      <c r="F77" s="646" t="s">
        <v>63</v>
      </c>
      <c r="G77" s="43"/>
      <c r="H77" s="651"/>
      <c r="I77" s="3"/>
      <c r="J77" s="653"/>
      <c r="K77" s="3"/>
      <c r="L77" s="663">
        <f>IF(H77&gt;0,(J77*D77)/H77,0)</f>
        <v>0</v>
      </c>
      <c r="M77" s="495"/>
      <c r="N77" s="665">
        <f>L77*J70</f>
        <v>0</v>
      </c>
      <c r="O77" s="495"/>
      <c r="P77" s="665">
        <f>IF(Consolidado_Geral!$G$133=7.6%,-(0.0165+0.076)*N77,0)</f>
        <v>0</v>
      </c>
      <c r="Q77" s="495"/>
      <c r="R77" s="665">
        <f t="shared" si="4"/>
        <v>0</v>
      </c>
      <c r="S77" s="496"/>
    </row>
    <row r="78" spans="1:19">
      <c r="A78" s="495"/>
      <c r="B78" s="77" t="s">
        <v>68</v>
      </c>
      <c r="C78" s="18"/>
      <c r="D78" s="644"/>
      <c r="E78" s="18"/>
      <c r="F78" s="647" t="s">
        <v>63</v>
      </c>
      <c r="G78" s="498"/>
      <c r="H78" s="650"/>
      <c r="I78" s="3"/>
      <c r="J78" s="653"/>
      <c r="K78" s="3"/>
      <c r="L78" s="663">
        <f t="shared" ref="L78:L84" si="5">IF(H78&gt;0,(J78*D78)/H78,0)</f>
        <v>0</v>
      </c>
      <c r="M78" s="495"/>
      <c r="N78" s="665">
        <f>L78*J70</f>
        <v>0</v>
      </c>
      <c r="O78" s="495"/>
      <c r="P78" s="665">
        <f>IF(Consolidado_Geral!$G$133=7.6%,-(0.0165+0.076)*N78,0)</f>
        <v>0</v>
      </c>
      <c r="Q78" s="495"/>
      <c r="R78" s="665">
        <f t="shared" si="4"/>
        <v>0</v>
      </c>
      <c r="S78" s="496"/>
    </row>
    <row r="79" spans="1:19">
      <c r="A79" s="495"/>
      <c r="B79" s="77" t="s">
        <v>69</v>
      </c>
      <c r="C79" s="18"/>
      <c r="D79" s="644">
        <v>1</v>
      </c>
      <c r="E79" s="18"/>
      <c r="F79" s="647" t="s">
        <v>63</v>
      </c>
      <c r="G79" s="498"/>
      <c r="H79" s="650"/>
      <c r="I79" s="3"/>
      <c r="J79" s="653"/>
      <c r="K79" s="3"/>
      <c r="L79" s="663">
        <f t="shared" si="5"/>
        <v>0</v>
      </c>
      <c r="M79" s="495"/>
      <c r="N79" s="665">
        <f>L79*J70</f>
        <v>0</v>
      </c>
      <c r="O79" s="495"/>
      <c r="P79" s="665">
        <f>IF(Consolidado_Geral!$G$133=7.6%,-(0.0165+0.076)*N79,0)</f>
        <v>0</v>
      </c>
      <c r="Q79" s="495"/>
      <c r="R79" s="665">
        <f t="shared" si="4"/>
        <v>0</v>
      </c>
      <c r="S79" s="496"/>
    </row>
    <row r="80" spans="1:19">
      <c r="A80" s="495"/>
      <c r="B80" s="77" t="s">
        <v>70</v>
      </c>
      <c r="C80" s="18"/>
      <c r="D80" s="644">
        <v>1</v>
      </c>
      <c r="E80" s="18"/>
      <c r="F80" s="647" t="s">
        <v>63</v>
      </c>
      <c r="G80" s="498"/>
      <c r="H80" s="650"/>
      <c r="I80" s="3"/>
      <c r="J80" s="653"/>
      <c r="K80" s="3"/>
      <c r="L80" s="663">
        <f t="shared" si="5"/>
        <v>0</v>
      </c>
      <c r="M80" s="495"/>
      <c r="N80" s="665">
        <f>L80*J70</f>
        <v>0</v>
      </c>
      <c r="O80" s="495"/>
      <c r="P80" s="665">
        <f>IF(Consolidado_Geral!$G$133=7.6%,-(0.0165+0.076)*N80,0)</f>
        <v>0</v>
      </c>
      <c r="Q80" s="495"/>
      <c r="R80" s="665">
        <f t="shared" si="4"/>
        <v>0</v>
      </c>
      <c r="S80" s="496"/>
    </row>
    <row r="81" spans="1:19">
      <c r="A81" s="495"/>
      <c r="B81" s="77" t="s">
        <v>71</v>
      </c>
      <c r="C81" s="18"/>
      <c r="D81" s="644">
        <v>1</v>
      </c>
      <c r="E81" s="18"/>
      <c r="F81" s="647" t="s">
        <v>63</v>
      </c>
      <c r="G81" s="498"/>
      <c r="H81" s="650"/>
      <c r="I81" s="3"/>
      <c r="J81" s="653"/>
      <c r="K81" s="3"/>
      <c r="L81" s="663">
        <f t="shared" si="5"/>
        <v>0</v>
      </c>
      <c r="M81" s="495"/>
      <c r="N81" s="665">
        <f>L81*J70</f>
        <v>0</v>
      </c>
      <c r="O81" s="495"/>
      <c r="P81" s="665">
        <f>IF(Consolidado_Geral!$G$133=7.6%,-(0.0165+0.076)*N81,0)</f>
        <v>0</v>
      </c>
      <c r="Q81" s="495"/>
      <c r="R81" s="665">
        <f t="shared" si="4"/>
        <v>0</v>
      </c>
      <c r="S81" s="496"/>
    </row>
    <row r="82" spans="1:19">
      <c r="A82" s="495"/>
      <c r="B82" s="680" t="s">
        <v>72</v>
      </c>
      <c r="C82" s="499"/>
      <c r="D82" s="644">
        <v>1</v>
      </c>
      <c r="E82" s="499"/>
      <c r="F82" s="648" t="s">
        <v>63</v>
      </c>
      <c r="G82" s="500"/>
      <c r="H82" s="650"/>
      <c r="I82" s="3"/>
      <c r="J82" s="653"/>
      <c r="K82" s="3"/>
      <c r="L82" s="663">
        <f t="shared" si="5"/>
        <v>0</v>
      </c>
      <c r="M82" s="495"/>
      <c r="N82" s="665">
        <f>L82*J70</f>
        <v>0</v>
      </c>
      <c r="O82" s="495"/>
      <c r="P82" s="665">
        <f>IF(Consolidado_Geral!$G$133=7.6%,-(0.0165+0.076)*N82,0)</f>
        <v>0</v>
      </c>
      <c r="Q82" s="495"/>
      <c r="R82" s="665">
        <f t="shared" si="4"/>
        <v>0</v>
      </c>
      <c r="S82" s="496"/>
    </row>
    <row r="83" spans="1:19">
      <c r="A83" s="495"/>
      <c r="B83" s="77" t="s">
        <v>73</v>
      </c>
      <c r="C83" s="18"/>
      <c r="D83" s="644">
        <v>1</v>
      </c>
      <c r="E83" s="18"/>
      <c r="F83" s="648" t="s">
        <v>29</v>
      </c>
      <c r="G83" s="500"/>
      <c r="H83" s="650"/>
      <c r="I83" s="3"/>
      <c r="J83" s="653"/>
      <c r="K83" s="3"/>
      <c r="L83" s="663">
        <f t="shared" si="5"/>
        <v>0</v>
      </c>
      <c r="M83" s="495"/>
      <c r="N83" s="665">
        <f>L83*J70</f>
        <v>0</v>
      </c>
      <c r="O83" s="495"/>
      <c r="P83" s="665">
        <f>IF(Consolidado_Geral!$G$133=7.6%,-(0.0165+0.076)*N83,0)</f>
        <v>0</v>
      </c>
      <c r="Q83" s="495"/>
      <c r="R83" s="665">
        <f t="shared" si="4"/>
        <v>0</v>
      </c>
      <c r="S83" s="496"/>
    </row>
    <row r="84" spans="1:19" ht="13.5" thickBot="1">
      <c r="A84" s="495"/>
      <c r="B84" s="66" t="s">
        <v>76</v>
      </c>
      <c r="C84" s="3"/>
      <c r="D84" s="645"/>
      <c r="E84" s="3"/>
      <c r="F84" s="649" t="s">
        <v>29</v>
      </c>
      <c r="G84" s="3"/>
      <c r="H84" s="650"/>
      <c r="I84" s="3"/>
      <c r="J84" s="653"/>
      <c r="K84" s="3"/>
      <c r="L84" s="663">
        <f t="shared" si="5"/>
        <v>0</v>
      </c>
      <c r="M84" s="495"/>
      <c r="N84" s="665">
        <f>L84*J70</f>
        <v>0</v>
      </c>
      <c r="O84" s="495"/>
      <c r="P84" s="665">
        <f>IF(Consolidado_Geral!$G$133=7.6%,-(0.0165+0.076)*N84,0)</f>
        <v>0</v>
      </c>
      <c r="Q84" s="495"/>
      <c r="R84" s="665">
        <f t="shared" si="4"/>
        <v>0</v>
      </c>
      <c r="S84" s="496"/>
    </row>
    <row r="85" spans="1:19" ht="13.5" thickBot="1">
      <c r="A85" s="490"/>
      <c r="B85" s="681" t="s">
        <v>230</v>
      </c>
      <c r="C85" s="3"/>
      <c r="D85" s="497"/>
      <c r="E85" s="3"/>
      <c r="F85" s="500"/>
      <c r="G85" s="3"/>
      <c r="H85" s="652"/>
      <c r="I85" s="3"/>
      <c r="J85" s="553">
        <v>2.5000000000000001E-3</v>
      </c>
      <c r="K85" s="3"/>
      <c r="L85" s="664">
        <f>IF(H85&gt;0,J85*(R70-(D77*J77))/H85,0)</f>
        <v>0</v>
      </c>
      <c r="M85" s="490"/>
      <c r="N85" s="666">
        <f>L85*J70</f>
        <v>0</v>
      </c>
      <c r="O85" s="490"/>
      <c r="P85" s="666">
        <f>IF(Consolidado_Geral!$G$133=7.6%,-(0.0165+0.076)*N85,0)</f>
        <v>0</v>
      </c>
      <c r="Q85" s="490"/>
      <c r="R85" s="666">
        <f t="shared" si="4"/>
        <v>0</v>
      </c>
      <c r="S85" s="491"/>
    </row>
    <row r="86" spans="1:19">
      <c r="A86" s="490"/>
      <c r="B86" s="490"/>
      <c r="C86" s="490"/>
      <c r="D86" s="490"/>
      <c r="E86" s="3"/>
      <c r="F86" s="4"/>
      <c r="G86" s="4"/>
      <c r="H86" s="4"/>
      <c r="I86" s="4"/>
      <c r="J86" s="4"/>
      <c r="K86" s="3"/>
      <c r="L86" s="4"/>
      <c r="M86" s="490"/>
      <c r="N86" s="490"/>
      <c r="O86" s="490"/>
      <c r="P86" s="490"/>
      <c r="Q86" s="490"/>
      <c r="R86" s="490"/>
      <c r="S86" s="491"/>
    </row>
    <row r="87" spans="1:19" ht="13.5" thickBot="1">
      <c r="A87" s="495"/>
      <c r="B87" s="3"/>
      <c r="C87" s="3"/>
      <c r="D87" s="44"/>
      <c r="E87" s="3"/>
      <c r="F87" s="3"/>
      <c r="G87" s="3"/>
      <c r="H87" s="501"/>
      <c r="I87" s="36"/>
      <c r="J87" s="682" t="s">
        <v>109</v>
      </c>
      <c r="K87" s="502"/>
      <c r="L87" s="667">
        <f>SUM(L76:L84)</f>
        <v>0</v>
      </c>
      <c r="M87" s="495"/>
      <c r="N87" s="668">
        <f>SUM(N76:N84)</f>
        <v>0</v>
      </c>
      <c r="O87" s="495"/>
      <c r="P87" s="668">
        <f>SUM(P76:P84)</f>
        <v>0</v>
      </c>
      <c r="Q87" s="495"/>
      <c r="R87" s="668">
        <f>SUM(R76:R85)</f>
        <v>0</v>
      </c>
      <c r="S87" s="496"/>
    </row>
    <row r="88" spans="1:19">
      <c r="A88" s="490"/>
      <c r="B88" s="4"/>
      <c r="C88" s="4"/>
      <c r="D88" s="10"/>
      <c r="E88" s="3"/>
      <c r="F88" s="504"/>
      <c r="G88" s="4"/>
      <c r="H88" s="490"/>
      <c r="I88" s="490"/>
      <c r="J88" s="505"/>
      <c r="K88" s="3"/>
      <c r="L88" s="4"/>
      <c r="M88" s="490"/>
      <c r="N88" s="490"/>
      <c r="O88" s="490"/>
      <c r="P88" s="490"/>
      <c r="Q88" s="490"/>
      <c r="R88" s="490"/>
      <c r="S88" s="491"/>
    </row>
    <row r="89" spans="1:19" ht="13.5" thickBot="1">
      <c r="A89" s="492"/>
      <c r="B89" s="639"/>
      <c r="C89" s="640"/>
      <c r="D89" s="640"/>
      <c r="E89" s="640"/>
      <c r="F89" s="640"/>
      <c r="G89" s="641"/>
      <c r="H89" s="640"/>
      <c r="I89" s="640"/>
      <c r="J89" s="656" t="s">
        <v>43</v>
      </c>
      <c r="K89" s="640"/>
      <c r="L89" s="640"/>
      <c r="M89" s="641"/>
      <c r="N89" s="641"/>
      <c r="O89" s="641"/>
      <c r="P89" s="641"/>
      <c r="Q89" s="641"/>
      <c r="R89" s="642"/>
      <c r="S89" s="506"/>
    </row>
    <row r="90" spans="1:19">
      <c r="A90" s="490"/>
      <c r="B90" s="6"/>
      <c r="C90" s="6"/>
      <c r="D90" s="6"/>
      <c r="E90" s="6"/>
      <c r="F90" s="6"/>
      <c r="G90" s="6"/>
      <c r="H90" s="6"/>
      <c r="I90" s="6"/>
      <c r="J90" s="669" t="s">
        <v>81</v>
      </c>
      <c r="K90" s="508"/>
      <c r="L90" s="669" t="s">
        <v>82</v>
      </c>
      <c r="M90" s="490"/>
      <c r="N90" s="490"/>
      <c r="O90" s="490"/>
      <c r="P90" s="490"/>
      <c r="Q90" s="490"/>
      <c r="R90" s="490"/>
      <c r="S90" s="491"/>
    </row>
    <row r="91" spans="1:19" ht="13.5" thickBot="1">
      <c r="A91" s="490"/>
      <c r="B91" s="100" t="s">
        <v>231</v>
      </c>
      <c r="C91" s="672"/>
      <c r="D91" s="672"/>
      <c r="E91" s="672"/>
      <c r="F91" s="672"/>
      <c r="G91" s="672"/>
      <c r="H91" s="672"/>
      <c r="I91" s="6"/>
      <c r="J91" s="654"/>
      <c r="K91" s="6"/>
      <c r="L91" s="670">
        <f>J91/12</f>
        <v>0</v>
      </c>
      <c r="M91" s="490"/>
      <c r="N91" s="490"/>
      <c r="O91" s="490"/>
      <c r="P91" s="490"/>
      <c r="Q91" s="490"/>
      <c r="R91" s="490"/>
      <c r="S91" s="491"/>
    </row>
    <row r="92" spans="1:19">
      <c r="A92" s="490"/>
      <c r="B92" s="672"/>
      <c r="C92" s="672"/>
      <c r="D92" s="672"/>
      <c r="E92" s="672"/>
      <c r="F92" s="672"/>
      <c r="G92" s="672"/>
      <c r="H92" s="672"/>
      <c r="I92" s="6"/>
      <c r="J92" s="6"/>
      <c r="K92" s="6"/>
      <c r="L92" s="671"/>
      <c r="M92" s="490"/>
      <c r="N92" s="490"/>
      <c r="O92" s="490"/>
      <c r="P92" s="490"/>
      <c r="Q92" s="490"/>
      <c r="R92" s="490"/>
      <c r="S92" s="491"/>
    </row>
    <row r="93" spans="1:19" ht="13.5" thickBot="1">
      <c r="A93" s="490"/>
      <c r="B93" s="101" t="s">
        <v>77</v>
      </c>
      <c r="C93" s="672"/>
      <c r="D93" s="672"/>
      <c r="E93" s="672"/>
      <c r="F93" s="672"/>
      <c r="G93" s="672"/>
      <c r="H93" s="672"/>
      <c r="I93" s="6"/>
      <c r="J93" s="654"/>
      <c r="K93" s="6"/>
      <c r="L93" s="670">
        <f>J93/12</f>
        <v>0</v>
      </c>
      <c r="M93" s="490"/>
      <c r="N93" s="490"/>
      <c r="O93" s="490"/>
      <c r="P93" s="560" t="s">
        <v>178</v>
      </c>
      <c r="Q93" s="490"/>
      <c r="R93" s="675">
        <f>L91+L93</f>
        <v>0</v>
      </c>
      <c r="S93" s="491"/>
    </row>
    <row r="94" spans="1:19">
      <c r="A94" s="490"/>
      <c r="B94" s="4"/>
      <c r="C94" s="4"/>
      <c r="D94" s="10"/>
      <c r="E94" s="3"/>
      <c r="F94" s="4"/>
      <c r="G94" s="4"/>
      <c r="H94" s="492"/>
      <c r="I94" s="492"/>
      <c r="J94" s="505"/>
      <c r="K94" s="3"/>
      <c r="L94" s="4"/>
      <c r="M94" s="490"/>
      <c r="N94" s="490"/>
      <c r="O94" s="490"/>
      <c r="P94" s="490"/>
      <c r="Q94" s="490"/>
      <c r="R94" s="490"/>
      <c r="S94" s="491"/>
    </row>
    <row r="95" spans="1:19" ht="15.75" thickBot="1">
      <c r="A95" s="490"/>
      <c r="B95" s="490"/>
      <c r="C95" s="490"/>
      <c r="D95" s="490"/>
      <c r="E95" s="3"/>
      <c r="F95" s="4"/>
      <c r="G95" s="4"/>
      <c r="H95" s="492"/>
      <c r="I95" s="492"/>
      <c r="J95" s="490"/>
      <c r="K95" s="509"/>
      <c r="L95" s="490"/>
      <c r="M95" s="490"/>
      <c r="N95" s="490"/>
      <c r="O95" s="492"/>
      <c r="P95" s="673" t="s">
        <v>44</v>
      </c>
      <c r="Q95" s="643"/>
      <c r="R95" s="674">
        <f>IF(J70&gt;0,R87+R93,0)</f>
        <v>0</v>
      </c>
      <c r="S95" s="491"/>
    </row>
    <row r="96" spans="1:19" ht="15">
      <c r="A96" s="490"/>
      <c r="B96" s="490"/>
      <c r="C96" s="490"/>
      <c r="D96" s="490"/>
      <c r="E96" s="3"/>
      <c r="F96" s="4"/>
      <c r="G96" s="4"/>
      <c r="H96" s="492"/>
      <c r="I96" s="492"/>
      <c r="J96" s="490"/>
      <c r="K96" s="509"/>
      <c r="L96" s="490"/>
      <c r="M96" s="490"/>
      <c r="N96" s="490"/>
      <c r="O96" s="492"/>
      <c r="P96" s="683"/>
      <c r="Q96" s="509"/>
      <c r="R96" s="684"/>
      <c r="S96" s="491"/>
    </row>
    <row r="97" spans="1:19" ht="15">
      <c r="A97" s="490"/>
      <c r="B97" s="490"/>
      <c r="C97" s="490"/>
      <c r="D97" s="490"/>
      <c r="E97" s="3"/>
      <c r="F97" s="4"/>
      <c r="G97" s="4"/>
      <c r="H97" s="492"/>
      <c r="I97" s="492"/>
      <c r="J97" s="490"/>
      <c r="K97" s="509"/>
      <c r="L97" s="490"/>
      <c r="M97" s="490"/>
      <c r="N97" s="490"/>
      <c r="O97" s="492"/>
      <c r="P97" s="683"/>
      <c r="Q97" s="509"/>
      <c r="R97" s="684"/>
      <c r="S97" s="491"/>
    </row>
    <row r="98" spans="1:19" ht="15">
      <c r="A98" s="490"/>
      <c r="B98" s="490"/>
      <c r="C98" s="490"/>
      <c r="D98" s="490"/>
      <c r="E98" s="3"/>
      <c r="F98" s="4"/>
      <c r="G98" s="4"/>
      <c r="H98" s="492"/>
      <c r="I98" s="492"/>
      <c r="J98" s="490"/>
      <c r="K98" s="509"/>
      <c r="L98" s="490"/>
      <c r="M98" s="490"/>
      <c r="N98" s="490"/>
      <c r="O98" s="492"/>
      <c r="P98" s="683"/>
      <c r="Q98" s="509"/>
      <c r="R98" s="684"/>
      <c r="S98" s="491"/>
    </row>
    <row r="99" spans="1:19" ht="15">
      <c r="A99" s="490"/>
      <c r="B99" s="490"/>
      <c r="C99" s="490"/>
      <c r="D99" s="490"/>
      <c r="E99" s="3"/>
      <c r="F99" s="4"/>
      <c r="G99" s="4"/>
      <c r="H99" s="492"/>
      <c r="I99" s="492"/>
      <c r="J99" s="490"/>
      <c r="K99" s="509"/>
      <c r="L99" s="490"/>
      <c r="M99" s="490"/>
      <c r="N99" s="490"/>
      <c r="O99" s="492"/>
      <c r="P99" s="683"/>
      <c r="Q99" s="509"/>
      <c r="R99" s="684"/>
      <c r="S99" s="491"/>
    </row>
    <row r="100" spans="1:19">
      <c r="B100" s="510"/>
      <c r="C100" s="510"/>
      <c r="D100" s="510"/>
      <c r="E100" s="510"/>
      <c r="F100" s="510"/>
      <c r="G100" s="510"/>
      <c r="H100" s="510"/>
      <c r="I100" s="510"/>
      <c r="J100" s="510"/>
      <c r="K100" s="510"/>
      <c r="L100" s="510"/>
    </row>
    <row r="101" spans="1:19">
      <c r="A101" s="490"/>
      <c r="B101" s="490"/>
      <c r="C101" s="490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1"/>
    </row>
    <row r="102" spans="1:19" ht="13.5" thickBot="1">
      <c r="A102" s="490"/>
      <c r="B102" s="1073" t="s">
        <v>401</v>
      </c>
      <c r="C102" s="1074"/>
      <c r="D102" s="1074"/>
      <c r="E102" s="1074"/>
      <c r="F102" s="1074"/>
      <c r="G102" s="1074"/>
      <c r="H102" s="1074"/>
      <c r="I102" s="1074"/>
      <c r="J102" s="1074"/>
      <c r="K102" s="1074"/>
      <c r="L102" s="1074"/>
      <c r="M102" s="1074"/>
      <c r="N102" s="1074"/>
      <c r="O102" s="1074"/>
      <c r="P102" s="1074"/>
      <c r="Q102" s="1074"/>
      <c r="R102" s="1075"/>
      <c r="S102" s="491"/>
    </row>
    <row r="103" spans="1:19">
      <c r="A103" s="490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490"/>
      <c r="M103" s="490"/>
      <c r="N103" s="490"/>
      <c r="O103" s="490"/>
      <c r="P103" s="490"/>
      <c r="Q103" s="490"/>
      <c r="R103" s="490"/>
      <c r="S103" s="491"/>
    </row>
    <row r="104" spans="1:19" ht="13.5" thickBot="1">
      <c r="A104" s="490"/>
      <c r="B104" s="676"/>
      <c r="C104" s="66"/>
      <c r="D104" s="677"/>
      <c r="E104" s="77"/>
      <c r="F104" s="678"/>
      <c r="G104" s="679"/>
      <c r="H104" s="73" t="s">
        <v>402</v>
      </c>
      <c r="I104" s="490"/>
      <c r="J104" s="655"/>
      <c r="K104" s="698" t="s">
        <v>495</v>
      </c>
      <c r="L104" s="491"/>
      <c r="N104" s="490"/>
      <c r="O104" s="490"/>
      <c r="P104" s="699" t="s">
        <v>403</v>
      </c>
      <c r="Q104" s="490"/>
      <c r="R104" s="654"/>
      <c r="S104" s="491"/>
    </row>
    <row r="105" spans="1:19">
      <c r="A105" s="490"/>
      <c r="B105" s="3"/>
      <c r="C105" s="3"/>
      <c r="D105" s="8"/>
      <c r="E105" s="18"/>
      <c r="F105" s="492"/>
      <c r="G105" s="3"/>
      <c r="H105" s="492"/>
      <c r="I105" s="492"/>
      <c r="J105" s="493"/>
      <c r="K105" s="490"/>
      <c r="L105" s="494"/>
      <c r="M105" s="490"/>
      <c r="N105" s="490"/>
      <c r="O105" s="490"/>
      <c r="P105" s="490"/>
      <c r="Q105" s="490"/>
      <c r="R105" s="490"/>
      <c r="S105" s="491"/>
    </row>
    <row r="106" spans="1:19" ht="13.5" thickBot="1">
      <c r="A106" s="490"/>
      <c r="B106" s="657"/>
      <c r="C106" s="656"/>
      <c r="D106" s="656"/>
      <c r="E106" s="656"/>
      <c r="F106" s="656"/>
      <c r="G106" s="538"/>
      <c r="H106" s="656"/>
      <c r="I106" s="656"/>
      <c r="J106" s="656" t="s">
        <v>19</v>
      </c>
      <c r="K106" s="656"/>
      <c r="L106" s="656"/>
      <c r="M106" s="538"/>
      <c r="N106" s="538"/>
      <c r="O106" s="538"/>
      <c r="P106" s="538"/>
      <c r="Q106" s="538"/>
      <c r="R106" s="539"/>
      <c r="S106" s="491"/>
    </row>
    <row r="107" spans="1:19">
      <c r="A107" s="490"/>
      <c r="B107" s="3"/>
      <c r="C107" s="3"/>
      <c r="D107" s="3"/>
      <c r="E107" s="3"/>
      <c r="F107" s="4"/>
      <c r="G107" s="4"/>
      <c r="H107" s="4"/>
      <c r="I107" s="4"/>
      <c r="J107" s="4"/>
      <c r="K107" s="3"/>
      <c r="L107" s="490"/>
      <c r="M107" s="490"/>
      <c r="N107" s="490"/>
      <c r="O107" s="490"/>
      <c r="P107" s="490"/>
      <c r="Q107" s="490"/>
      <c r="R107" s="490"/>
      <c r="S107" s="491"/>
    </row>
    <row r="108" spans="1:19" ht="26.25" thickBot="1">
      <c r="A108" s="490"/>
      <c r="B108" s="658" t="s">
        <v>100</v>
      </c>
      <c r="C108" s="659"/>
      <c r="D108" s="656" t="s">
        <v>65</v>
      </c>
      <c r="E108" s="659"/>
      <c r="F108" s="660" t="s">
        <v>66</v>
      </c>
      <c r="G108" s="660"/>
      <c r="H108" s="659" t="s">
        <v>67</v>
      </c>
      <c r="I108" s="581"/>
      <c r="J108" s="656" t="s">
        <v>64</v>
      </c>
      <c r="K108" s="581"/>
      <c r="L108" s="656" t="s">
        <v>404</v>
      </c>
      <c r="M108" s="538"/>
      <c r="N108" s="656" t="s">
        <v>17</v>
      </c>
      <c r="O108" s="538"/>
      <c r="P108" s="661" t="s">
        <v>85</v>
      </c>
      <c r="Q108" s="538"/>
      <c r="R108" s="662" t="s">
        <v>109</v>
      </c>
      <c r="S108" s="491"/>
    </row>
    <row r="109" spans="1:19">
      <c r="A109" s="490"/>
      <c r="B109" s="43"/>
      <c r="C109" s="43"/>
      <c r="D109" s="6"/>
      <c r="E109" s="43"/>
      <c r="F109" s="6"/>
      <c r="G109" s="6"/>
      <c r="H109" s="43"/>
      <c r="I109" s="3"/>
      <c r="J109" s="6"/>
      <c r="K109" s="3"/>
      <c r="L109" s="4"/>
      <c r="M109" s="490"/>
      <c r="N109" s="490"/>
      <c r="O109" s="490"/>
      <c r="P109" s="490"/>
      <c r="Q109" s="490"/>
      <c r="R109" s="490"/>
      <c r="S109" s="491"/>
    </row>
    <row r="110" spans="1:19">
      <c r="A110" s="495"/>
      <c r="B110" s="77" t="s">
        <v>75</v>
      </c>
      <c r="C110" s="43"/>
      <c r="D110" s="644">
        <v>4</v>
      </c>
      <c r="E110" s="18"/>
      <c r="F110" s="646" t="s">
        <v>29</v>
      </c>
      <c r="G110" s="43"/>
      <c r="H110" s="650"/>
      <c r="I110" s="3"/>
      <c r="J110" s="653"/>
      <c r="K110" s="3"/>
      <c r="L110" s="663">
        <f>IF(H110&gt;0,(J110*D110)/H110,0)</f>
        <v>0</v>
      </c>
      <c r="M110" s="495"/>
      <c r="N110" s="665">
        <f>L110*J104</f>
        <v>0</v>
      </c>
      <c r="O110" s="495"/>
      <c r="P110" s="665">
        <f>IF(Consolidado_Geral!$G$133=7.6%,-(0.0165+0.076)*N110,0)</f>
        <v>0</v>
      </c>
      <c r="Q110" s="495"/>
      <c r="R110" s="665">
        <f t="shared" ref="R110:R119" si="6">N110+P110</f>
        <v>0</v>
      </c>
      <c r="S110" s="496"/>
    </row>
    <row r="111" spans="1:19">
      <c r="A111" s="495"/>
      <c r="B111" s="77" t="s">
        <v>74</v>
      </c>
      <c r="C111" s="18"/>
      <c r="D111" s="644">
        <v>1</v>
      </c>
      <c r="E111" s="18"/>
      <c r="F111" s="646" t="s">
        <v>63</v>
      </c>
      <c r="G111" s="43"/>
      <c r="H111" s="651"/>
      <c r="I111" s="3"/>
      <c r="J111" s="653"/>
      <c r="K111" s="3"/>
      <c r="L111" s="663">
        <f>IF(H111&gt;0,(J111*D111)/H111,0)</f>
        <v>0</v>
      </c>
      <c r="M111" s="495"/>
      <c r="N111" s="665">
        <f>L111*J104</f>
        <v>0</v>
      </c>
      <c r="O111" s="495"/>
      <c r="P111" s="665">
        <f>IF(Consolidado_Geral!$G$133=7.6%,-(0.0165+0.076)*N111,0)</f>
        <v>0</v>
      </c>
      <c r="Q111" s="495"/>
      <c r="R111" s="665">
        <f t="shared" si="6"/>
        <v>0</v>
      </c>
      <c r="S111" s="496"/>
    </row>
    <row r="112" spans="1:19">
      <c r="A112" s="495"/>
      <c r="B112" s="77" t="s">
        <v>68</v>
      </c>
      <c r="C112" s="18"/>
      <c r="D112" s="644"/>
      <c r="E112" s="18"/>
      <c r="F112" s="647" t="s">
        <v>63</v>
      </c>
      <c r="G112" s="498"/>
      <c r="H112" s="650"/>
      <c r="I112" s="3"/>
      <c r="J112" s="653"/>
      <c r="K112" s="3"/>
      <c r="L112" s="663">
        <f t="shared" ref="L112:L118" si="7">IF(H112&gt;0,(J112*D112)/H112,0)</f>
        <v>0</v>
      </c>
      <c r="M112" s="495"/>
      <c r="N112" s="665">
        <f>L112*J104</f>
        <v>0</v>
      </c>
      <c r="O112" s="495"/>
      <c r="P112" s="665">
        <f>IF(Consolidado_Geral!$G$133=7.6%,-(0.0165+0.076)*N112,0)</f>
        <v>0</v>
      </c>
      <c r="Q112" s="495"/>
      <c r="R112" s="665">
        <f t="shared" si="6"/>
        <v>0</v>
      </c>
      <c r="S112" s="496"/>
    </row>
    <row r="113" spans="1:19">
      <c r="A113" s="495"/>
      <c r="B113" s="77" t="s">
        <v>69</v>
      </c>
      <c r="C113" s="18"/>
      <c r="D113" s="644">
        <v>1</v>
      </c>
      <c r="E113" s="18"/>
      <c r="F113" s="647" t="s">
        <v>63</v>
      </c>
      <c r="G113" s="498"/>
      <c r="H113" s="650"/>
      <c r="I113" s="3"/>
      <c r="J113" s="653"/>
      <c r="K113" s="3"/>
      <c r="L113" s="663">
        <f t="shared" si="7"/>
        <v>0</v>
      </c>
      <c r="M113" s="495"/>
      <c r="N113" s="665">
        <f>L113*J104</f>
        <v>0</v>
      </c>
      <c r="O113" s="495"/>
      <c r="P113" s="665">
        <f>IF(Consolidado_Geral!$G$133=7.6%,-(0.0165+0.076)*N113,0)</f>
        <v>0</v>
      </c>
      <c r="Q113" s="495"/>
      <c r="R113" s="665">
        <f t="shared" si="6"/>
        <v>0</v>
      </c>
      <c r="S113" s="496"/>
    </row>
    <row r="114" spans="1:19">
      <c r="A114" s="495"/>
      <c r="B114" s="77" t="s">
        <v>70</v>
      </c>
      <c r="C114" s="18"/>
      <c r="D114" s="644">
        <v>1</v>
      </c>
      <c r="E114" s="18"/>
      <c r="F114" s="647" t="s">
        <v>63</v>
      </c>
      <c r="G114" s="498"/>
      <c r="H114" s="650"/>
      <c r="I114" s="3"/>
      <c r="J114" s="653"/>
      <c r="K114" s="3"/>
      <c r="L114" s="663">
        <f t="shared" si="7"/>
        <v>0</v>
      </c>
      <c r="M114" s="495"/>
      <c r="N114" s="665">
        <f>L114*J104</f>
        <v>0</v>
      </c>
      <c r="O114" s="495"/>
      <c r="P114" s="665">
        <f>IF(Consolidado_Geral!$G$133=7.6%,-(0.0165+0.076)*N114,0)</f>
        <v>0</v>
      </c>
      <c r="Q114" s="495"/>
      <c r="R114" s="665">
        <f t="shared" si="6"/>
        <v>0</v>
      </c>
      <c r="S114" s="496"/>
    </row>
    <row r="115" spans="1:19">
      <c r="A115" s="495"/>
      <c r="B115" s="77" t="s">
        <v>71</v>
      </c>
      <c r="C115" s="18"/>
      <c r="D115" s="644">
        <v>1</v>
      </c>
      <c r="E115" s="18"/>
      <c r="F115" s="647" t="s">
        <v>63</v>
      </c>
      <c r="G115" s="498"/>
      <c r="H115" s="650"/>
      <c r="I115" s="3"/>
      <c r="J115" s="653"/>
      <c r="K115" s="3"/>
      <c r="L115" s="663">
        <f t="shared" si="7"/>
        <v>0</v>
      </c>
      <c r="M115" s="495"/>
      <c r="N115" s="665">
        <f>L115*J104</f>
        <v>0</v>
      </c>
      <c r="O115" s="495"/>
      <c r="P115" s="665">
        <f>IF(Consolidado_Geral!$G$133=7.6%,-(0.0165+0.076)*N115,0)</f>
        <v>0</v>
      </c>
      <c r="Q115" s="495"/>
      <c r="R115" s="665">
        <f t="shared" si="6"/>
        <v>0</v>
      </c>
      <c r="S115" s="496"/>
    </row>
    <row r="116" spans="1:19">
      <c r="A116" s="495"/>
      <c r="B116" s="680" t="s">
        <v>72</v>
      </c>
      <c r="C116" s="499"/>
      <c r="D116" s="644">
        <v>1</v>
      </c>
      <c r="E116" s="499"/>
      <c r="F116" s="648" t="s">
        <v>63</v>
      </c>
      <c r="G116" s="500"/>
      <c r="H116" s="650"/>
      <c r="I116" s="3"/>
      <c r="J116" s="653"/>
      <c r="K116" s="3"/>
      <c r="L116" s="663">
        <f t="shared" si="7"/>
        <v>0</v>
      </c>
      <c r="M116" s="495"/>
      <c r="N116" s="665">
        <f>L116*J104</f>
        <v>0</v>
      </c>
      <c r="O116" s="495"/>
      <c r="P116" s="665">
        <f>IF(Consolidado_Geral!$G$133=7.6%,-(0.0165+0.076)*N116,0)</f>
        <v>0</v>
      </c>
      <c r="Q116" s="495"/>
      <c r="R116" s="665">
        <f t="shared" si="6"/>
        <v>0</v>
      </c>
      <c r="S116" s="496"/>
    </row>
    <row r="117" spans="1:19">
      <c r="A117" s="495"/>
      <c r="B117" s="77" t="s">
        <v>73</v>
      </c>
      <c r="C117" s="18"/>
      <c r="D117" s="644">
        <v>1</v>
      </c>
      <c r="E117" s="18"/>
      <c r="F117" s="648" t="s">
        <v>29</v>
      </c>
      <c r="G117" s="500"/>
      <c r="H117" s="650"/>
      <c r="I117" s="3"/>
      <c r="J117" s="653"/>
      <c r="K117" s="3"/>
      <c r="L117" s="663">
        <f t="shared" si="7"/>
        <v>0</v>
      </c>
      <c r="M117" s="495"/>
      <c r="N117" s="665">
        <f>L117*J104</f>
        <v>0</v>
      </c>
      <c r="O117" s="495"/>
      <c r="P117" s="665">
        <f>IF(Consolidado_Geral!$G$133=7.6%,-(0.0165+0.076)*N117,0)</f>
        <v>0</v>
      </c>
      <c r="Q117" s="495"/>
      <c r="R117" s="665">
        <f t="shared" si="6"/>
        <v>0</v>
      </c>
      <c r="S117" s="496"/>
    </row>
    <row r="118" spans="1:19" ht="13.5" thickBot="1">
      <c r="A118" s="495"/>
      <c r="B118" s="66" t="s">
        <v>76</v>
      </c>
      <c r="C118" s="3"/>
      <c r="D118" s="645"/>
      <c r="E118" s="3"/>
      <c r="F118" s="649" t="s">
        <v>29</v>
      </c>
      <c r="G118" s="3"/>
      <c r="H118" s="650"/>
      <c r="I118" s="3"/>
      <c r="J118" s="653"/>
      <c r="K118" s="3"/>
      <c r="L118" s="663">
        <f t="shared" si="7"/>
        <v>0</v>
      </c>
      <c r="M118" s="495"/>
      <c r="N118" s="665">
        <f>L118*J104</f>
        <v>0</v>
      </c>
      <c r="O118" s="495"/>
      <c r="P118" s="665">
        <f>IF(Consolidado_Geral!$G$133=7.6%,-(0.0165+0.076)*N118,0)</f>
        <v>0</v>
      </c>
      <c r="Q118" s="495"/>
      <c r="R118" s="665">
        <f t="shared" si="6"/>
        <v>0</v>
      </c>
      <c r="S118" s="496"/>
    </row>
    <row r="119" spans="1:19" ht="13.5" thickBot="1">
      <c r="A119" s="490"/>
      <c r="B119" s="681" t="s">
        <v>230</v>
      </c>
      <c r="C119" s="3"/>
      <c r="D119" s="497"/>
      <c r="E119" s="3"/>
      <c r="F119" s="500"/>
      <c r="G119" s="3"/>
      <c r="H119" s="652"/>
      <c r="I119" s="3"/>
      <c r="J119" s="553">
        <v>2.5000000000000001E-3</v>
      </c>
      <c r="K119" s="3"/>
      <c r="L119" s="664">
        <f>IF(H119&gt;0,J119*(R104-(D111*J111))/H119,0)</f>
        <v>0</v>
      </c>
      <c r="M119" s="490"/>
      <c r="N119" s="666">
        <f>L119*J104</f>
        <v>0</v>
      </c>
      <c r="O119" s="490"/>
      <c r="P119" s="666">
        <f>IF(Consolidado_Geral!$G$133=7.6%,-(0.0165+0.076)*N119,0)</f>
        <v>0</v>
      </c>
      <c r="Q119" s="490"/>
      <c r="R119" s="666">
        <f t="shared" si="6"/>
        <v>0</v>
      </c>
      <c r="S119" s="491"/>
    </row>
    <row r="120" spans="1:19">
      <c r="A120" s="490"/>
      <c r="B120" s="490"/>
      <c r="C120" s="490"/>
      <c r="D120" s="490"/>
      <c r="E120" s="3"/>
      <c r="F120" s="4"/>
      <c r="G120" s="4"/>
      <c r="H120" s="4"/>
      <c r="I120" s="4"/>
      <c r="J120" s="4"/>
      <c r="K120" s="3"/>
      <c r="L120" s="4"/>
      <c r="M120" s="490"/>
      <c r="N120" s="490"/>
      <c r="O120" s="490"/>
      <c r="P120" s="490"/>
      <c r="Q120" s="490"/>
      <c r="R120" s="490"/>
      <c r="S120" s="491"/>
    </row>
    <row r="121" spans="1:19" ht="13.5" thickBot="1">
      <c r="A121" s="495"/>
      <c r="B121" s="3"/>
      <c r="C121" s="3"/>
      <c r="D121" s="44"/>
      <c r="E121" s="3"/>
      <c r="F121" s="3"/>
      <c r="G121" s="3"/>
      <c r="H121" s="501"/>
      <c r="I121" s="36"/>
      <c r="J121" s="682" t="s">
        <v>109</v>
      </c>
      <c r="K121" s="502"/>
      <c r="L121" s="667">
        <f>SUM(L110:L118)</f>
        <v>0</v>
      </c>
      <c r="M121" s="495"/>
      <c r="N121" s="668">
        <f>SUM(N110:N118)</f>
        <v>0</v>
      </c>
      <c r="O121" s="495"/>
      <c r="P121" s="668">
        <f>SUM(P110:P118)</f>
        <v>0</v>
      </c>
      <c r="Q121" s="495"/>
      <c r="R121" s="668">
        <f>SUM(R110:R119)</f>
        <v>0</v>
      </c>
      <c r="S121" s="496"/>
    </row>
    <row r="122" spans="1:19">
      <c r="A122" s="490"/>
      <c r="B122" s="4"/>
      <c r="C122" s="4"/>
      <c r="D122" s="10"/>
      <c r="E122" s="3"/>
      <c r="F122" s="504"/>
      <c r="G122" s="4"/>
      <c r="H122" s="490"/>
      <c r="I122" s="490"/>
      <c r="J122" s="505"/>
      <c r="K122" s="3"/>
      <c r="L122" s="4"/>
      <c r="M122" s="490"/>
      <c r="N122" s="490"/>
      <c r="O122" s="490"/>
      <c r="P122" s="490"/>
      <c r="Q122" s="490"/>
      <c r="R122" s="490"/>
      <c r="S122" s="491"/>
    </row>
    <row r="123" spans="1:19" ht="13.5" thickBot="1">
      <c r="A123" s="492"/>
      <c r="B123" s="639"/>
      <c r="C123" s="640"/>
      <c r="D123" s="640"/>
      <c r="E123" s="640"/>
      <c r="F123" s="640"/>
      <c r="G123" s="641"/>
      <c r="H123" s="640"/>
      <c r="I123" s="640"/>
      <c r="J123" s="656" t="s">
        <v>43</v>
      </c>
      <c r="K123" s="640"/>
      <c r="L123" s="640"/>
      <c r="M123" s="641"/>
      <c r="N123" s="641"/>
      <c r="O123" s="641"/>
      <c r="P123" s="641"/>
      <c r="Q123" s="641"/>
      <c r="R123" s="642"/>
      <c r="S123" s="506"/>
    </row>
    <row r="124" spans="1:19">
      <c r="A124" s="490"/>
      <c r="B124" s="6"/>
      <c r="C124" s="6"/>
      <c r="D124" s="6"/>
      <c r="E124" s="6"/>
      <c r="F124" s="6"/>
      <c r="G124" s="6"/>
      <c r="H124" s="6"/>
      <c r="I124" s="6"/>
      <c r="J124" s="669" t="s">
        <v>81</v>
      </c>
      <c r="K124" s="508"/>
      <c r="L124" s="669" t="s">
        <v>82</v>
      </c>
      <c r="M124" s="490"/>
      <c r="N124" s="490"/>
      <c r="O124" s="490"/>
      <c r="P124" s="490"/>
      <c r="Q124" s="490"/>
      <c r="R124" s="490"/>
      <c r="S124" s="491"/>
    </row>
    <row r="125" spans="1:19" ht="13.5" thickBot="1">
      <c r="A125" s="490"/>
      <c r="B125" s="100" t="s">
        <v>231</v>
      </c>
      <c r="C125" s="672"/>
      <c r="D125" s="672"/>
      <c r="E125" s="672"/>
      <c r="F125" s="672"/>
      <c r="G125" s="672"/>
      <c r="H125" s="672"/>
      <c r="I125" s="6"/>
      <c r="J125" s="654"/>
      <c r="K125" s="6"/>
      <c r="L125" s="670">
        <f>J125/12</f>
        <v>0</v>
      </c>
      <c r="M125" s="490"/>
      <c r="N125" s="490"/>
      <c r="O125" s="490"/>
      <c r="P125" s="490"/>
      <c r="Q125" s="490"/>
      <c r="R125" s="490"/>
      <c r="S125" s="491"/>
    </row>
    <row r="126" spans="1:19">
      <c r="A126" s="490"/>
      <c r="B126" s="672"/>
      <c r="C126" s="672"/>
      <c r="D126" s="672"/>
      <c r="E126" s="672"/>
      <c r="F126" s="672"/>
      <c r="G126" s="672"/>
      <c r="H126" s="672"/>
      <c r="I126" s="6"/>
      <c r="J126" s="6"/>
      <c r="K126" s="6"/>
      <c r="L126" s="671"/>
      <c r="M126" s="490"/>
      <c r="N126" s="490"/>
      <c r="O126" s="490"/>
      <c r="P126" s="490"/>
      <c r="Q126" s="490"/>
      <c r="R126" s="490"/>
      <c r="S126" s="491"/>
    </row>
    <row r="127" spans="1:19" ht="13.5" thickBot="1">
      <c r="A127" s="490"/>
      <c r="B127" s="101" t="s">
        <v>77</v>
      </c>
      <c r="C127" s="672"/>
      <c r="D127" s="672"/>
      <c r="E127" s="672"/>
      <c r="F127" s="672"/>
      <c r="G127" s="672"/>
      <c r="H127" s="672"/>
      <c r="I127" s="6"/>
      <c r="J127" s="654"/>
      <c r="K127" s="6"/>
      <c r="L127" s="670">
        <f>J127/12</f>
        <v>0</v>
      </c>
      <c r="M127" s="490"/>
      <c r="N127" s="490"/>
      <c r="O127" s="490"/>
      <c r="P127" s="560" t="s">
        <v>178</v>
      </c>
      <c r="Q127" s="490"/>
      <c r="R127" s="675">
        <f>L125+L127</f>
        <v>0</v>
      </c>
      <c r="S127" s="491"/>
    </row>
    <row r="128" spans="1:19">
      <c r="A128" s="490"/>
      <c r="B128" s="4"/>
      <c r="C128" s="4"/>
      <c r="D128" s="10"/>
      <c r="E128" s="3"/>
      <c r="F128" s="4"/>
      <c r="G128" s="4"/>
      <c r="H128" s="492"/>
      <c r="I128" s="492"/>
      <c r="J128" s="505"/>
      <c r="K128" s="3"/>
      <c r="L128" s="4"/>
      <c r="M128" s="490"/>
      <c r="N128" s="490"/>
      <c r="O128" s="490"/>
      <c r="P128" s="490"/>
      <c r="Q128" s="490"/>
      <c r="R128" s="490"/>
      <c r="S128" s="491"/>
    </row>
    <row r="129" spans="1:19" ht="15.75" thickBot="1">
      <c r="A129" s="490"/>
      <c r="B129" s="490"/>
      <c r="C129" s="490"/>
      <c r="D129" s="490"/>
      <c r="E129" s="3"/>
      <c r="F129" s="4"/>
      <c r="G129" s="4"/>
      <c r="H129" s="492"/>
      <c r="I129" s="492"/>
      <c r="J129" s="490"/>
      <c r="K129" s="509"/>
      <c r="L129" s="490"/>
      <c r="M129" s="490"/>
      <c r="N129" s="490"/>
      <c r="O129" s="492"/>
      <c r="P129" s="673" t="s">
        <v>44</v>
      </c>
      <c r="Q129" s="643"/>
      <c r="R129" s="674">
        <f>IF(J104&gt;0,R121+R127,0)</f>
        <v>0</v>
      </c>
      <c r="S129" s="491"/>
    </row>
    <row r="130" spans="1:19">
      <c r="B130" s="510"/>
      <c r="C130" s="510"/>
      <c r="D130" s="510"/>
      <c r="E130" s="510"/>
      <c r="F130" s="510"/>
      <c r="G130" s="510"/>
      <c r="H130" s="510"/>
      <c r="I130" s="510"/>
      <c r="J130" s="510"/>
      <c r="K130" s="510"/>
      <c r="L130" s="510"/>
    </row>
    <row r="131" spans="1:19">
      <c r="A131" s="490"/>
      <c r="B131" s="490"/>
      <c r="C131" s="490"/>
      <c r="D131" s="490"/>
      <c r="E131" s="490"/>
      <c r="F131" s="490"/>
      <c r="G131" s="490"/>
      <c r="H131" s="490"/>
      <c r="I131" s="490"/>
      <c r="J131" s="490"/>
      <c r="K131" s="490"/>
      <c r="L131" s="490"/>
      <c r="M131" s="490"/>
      <c r="N131" s="490"/>
      <c r="O131" s="490"/>
      <c r="P131" s="490"/>
      <c r="Q131" s="490"/>
      <c r="R131" s="490"/>
      <c r="S131" s="491"/>
    </row>
    <row r="132" spans="1:19" ht="13.5" thickBot="1">
      <c r="A132" s="490"/>
      <c r="B132" s="1073" t="s">
        <v>401</v>
      </c>
      <c r="C132" s="1074"/>
      <c r="D132" s="1074"/>
      <c r="E132" s="1074"/>
      <c r="F132" s="1074"/>
      <c r="G132" s="1074"/>
      <c r="H132" s="1074"/>
      <c r="I132" s="1074"/>
      <c r="J132" s="1074"/>
      <c r="K132" s="1074"/>
      <c r="L132" s="1074"/>
      <c r="M132" s="1074"/>
      <c r="N132" s="1074"/>
      <c r="O132" s="1074"/>
      <c r="P132" s="1074"/>
      <c r="Q132" s="1074"/>
      <c r="R132" s="1075"/>
      <c r="S132" s="491"/>
    </row>
    <row r="133" spans="1:19">
      <c r="A133" s="490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490"/>
      <c r="M133" s="490"/>
      <c r="N133" s="490"/>
      <c r="O133" s="490"/>
      <c r="P133" s="490"/>
      <c r="Q133" s="490"/>
      <c r="R133" s="490"/>
      <c r="S133" s="491"/>
    </row>
    <row r="134" spans="1:19" ht="13.5" thickBot="1">
      <c r="A134" s="490"/>
      <c r="B134" s="676"/>
      <c r="C134" s="66"/>
      <c r="D134" s="677"/>
      <c r="E134" s="77"/>
      <c r="F134" s="678"/>
      <c r="G134" s="679"/>
      <c r="H134" s="73" t="s">
        <v>402</v>
      </c>
      <c r="I134" s="490"/>
      <c r="J134" s="655"/>
      <c r="K134" s="698" t="s">
        <v>495</v>
      </c>
      <c r="L134" s="491"/>
      <c r="N134" s="490"/>
      <c r="O134" s="490"/>
      <c r="P134" s="699" t="s">
        <v>403</v>
      </c>
      <c r="Q134" s="490"/>
      <c r="R134" s="654"/>
      <c r="S134" s="491"/>
    </row>
    <row r="135" spans="1:19">
      <c r="A135" s="490"/>
      <c r="B135" s="3"/>
      <c r="C135" s="3"/>
      <c r="D135" s="8"/>
      <c r="E135" s="18"/>
      <c r="F135" s="492"/>
      <c r="G135" s="3"/>
      <c r="H135" s="492"/>
      <c r="I135" s="492"/>
      <c r="J135" s="493"/>
      <c r="K135" s="490"/>
      <c r="L135" s="494"/>
      <c r="M135" s="490"/>
      <c r="N135" s="490"/>
      <c r="O135" s="490"/>
      <c r="P135" s="490"/>
      <c r="Q135" s="490"/>
      <c r="R135" s="490"/>
      <c r="S135" s="491"/>
    </row>
    <row r="136" spans="1:19" ht="13.5" thickBot="1">
      <c r="A136" s="490"/>
      <c r="B136" s="657"/>
      <c r="C136" s="656"/>
      <c r="D136" s="656"/>
      <c r="E136" s="656"/>
      <c r="F136" s="656"/>
      <c r="G136" s="538"/>
      <c r="H136" s="656"/>
      <c r="I136" s="656"/>
      <c r="J136" s="656" t="s">
        <v>19</v>
      </c>
      <c r="K136" s="656"/>
      <c r="L136" s="656"/>
      <c r="M136" s="538"/>
      <c r="N136" s="538"/>
      <c r="O136" s="538"/>
      <c r="P136" s="538"/>
      <c r="Q136" s="538"/>
      <c r="R136" s="539"/>
      <c r="S136" s="491"/>
    </row>
    <row r="137" spans="1:19">
      <c r="A137" s="490"/>
      <c r="B137" s="3"/>
      <c r="C137" s="3"/>
      <c r="D137" s="3"/>
      <c r="E137" s="3"/>
      <c r="F137" s="4"/>
      <c r="G137" s="4"/>
      <c r="H137" s="4"/>
      <c r="I137" s="4"/>
      <c r="J137" s="4"/>
      <c r="K137" s="3"/>
      <c r="L137" s="490"/>
      <c r="M137" s="490"/>
      <c r="N137" s="490"/>
      <c r="O137" s="490"/>
      <c r="P137" s="490"/>
      <c r="Q137" s="490"/>
      <c r="R137" s="490"/>
      <c r="S137" s="491"/>
    </row>
    <row r="138" spans="1:19" ht="26.25" thickBot="1">
      <c r="A138" s="490"/>
      <c r="B138" s="658" t="s">
        <v>100</v>
      </c>
      <c r="C138" s="659"/>
      <c r="D138" s="656" t="s">
        <v>65</v>
      </c>
      <c r="E138" s="659"/>
      <c r="F138" s="660" t="s">
        <v>66</v>
      </c>
      <c r="G138" s="660"/>
      <c r="H138" s="659" t="s">
        <v>67</v>
      </c>
      <c r="I138" s="581"/>
      <c r="J138" s="656" t="s">
        <v>64</v>
      </c>
      <c r="K138" s="581"/>
      <c r="L138" s="656" t="s">
        <v>404</v>
      </c>
      <c r="M138" s="538"/>
      <c r="N138" s="656" t="s">
        <v>17</v>
      </c>
      <c r="O138" s="538"/>
      <c r="P138" s="661" t="s">
        <v>85</v>
      </c>
      <c r="Q138" s="538"/>
      <c r="R138" s="662" t="s">
        <v>109</v>
      </c>
      <c r="S138" s="491"/>
    </row>
    <row r="139" spans="1:19">
      <c r="A139" s="490"/>
      <c r="B139" s="43"/>
      <c r="C139" s="43"/>
      <c r="D139" s="6"/>
      <c r="E139" s="43"/>
      <c r="F139" s="6"/>
      <c r="G139" s="6"/>
      <c r="H139" s="43"/>
      <c r="I139" s="3"/>
      <c r="J139" s="6"/>
      <c r="K139" s="3"/>
      <c r="L139" s="4"/>
      <c r="M139" s="490"/>
      <c r="N139" s="490"/>
      <c r="O139" s="490"/>
      <c r="P139" s="490"/>
      <c r="Q139" s="490"/>
      <c r="R139" s="490"/>
      <c r="S139" s="491"/>
    </row>
    <row r="140" spans="1:19">
      <c r="A140" s="495"/>
      <c r="B140" s="77" t="s">
        <v>75</v>
      </c>
      <c r="C140" s="43"/>
      <c r="D140" s="644">
        <v>4</v>
      </c>
      <c r="E140" s="18"/>
      <c r="F140" s="646" t="s">
        <v>29</v>
      </c>
      <c r="G140" s="43"/>
      <c r="H140" s="650"/>
      <c r="I140" s="3"/>
      <c r="J140" s="653"/>
      <c r="K140" s="3"/>
      <c r="L140" s="663">
        <f>IF(H140&gt;0,(J140*D140)/H140,0)</f>
        <v>0</v>
      </c>
      <c r="M140" s="495"/>
      <c r="N140" s="665">
        <f>L140*J134</f>
        <v>0</v>
      </c>
      <c r="O140" s="495"/>
      <c r="P140" s="665">
        <f>IF(Consolidado_Geral!$G$133=7.6%,-(0.0165+0.076)*N140,0)</f>
        <v>0</v>
      </c>
      <c r="Q140" s="495"/>
      <c r="R140" s="665">
        <f t="shared" ref="R140:R149" si="8">N140+P140</f>
        <v>0</v>
      </c>
      <c r="S140" s="496"/>
    </row>
    <row r="141" spans="1:19">
      <c r="A141" s="495"/>
      <c r="B141" s="77" t="s">
        <v>74</v>
      </c>
      <c r="C141" s="18"/>
      <c r="D141" s="644">
        <v>1</v>
      </c>
      <c r="E141" s="18"/>
      <c r="F141" s="646" t="s">
        <v>63</v>
      </c>
      <c r="G141" s="43"/>
      <c r="H141" s="651"/>
      <c r="I141" s="3"/>
      <c r="J141" s="653"/>
      <c r="K141" s="3"/>
      <c r="L141" s="663">
        <f>IF(H141&gt;0,(J141*D141)/H141,0)</f>
        <v>0</v>
      </c>
      <c r="M141" s="495"/>
      <c r="N141" s="665">
        <f>L141*J134</f>
        <v>0</v>
      </c>
      <c r="O141" s="495"/>
      <c r="P141" s="665">
        <f>IF(Consolidado_Geral!$G$133=7.6%,-(0.0165+0.076)*N141,0)</f>
        <v>0</v>
      </c>
      <c r="Q141" s="495"/>
      <c r="R141" s="665">
        <f t="shared" si="8"/>
        <v>0</v>
      </c>
      <c r="S141" s="496"/>
    </row>
    <row r="142" spans="1:19">
      <c r="A142" s="495"/>
      <c r="B142" s="77" t="s">
        <v>68</v>
      </c>
      <c r="C142" s="18"/>
      <c r="D142" s="644"/>
      <c r="E142" s="18"/>
      <c r="F142" s="647" t="s">
        <v>63</v>
      </c>
      <c r="G142" s="498"/>
      <c r="H142" s="650"/>
      <c r="I142" s="3"/>
      <c r="J142" s="653"/>
      <c r="K142" s="3"/>
      <c r="L142" s="663">
        <f t="shared" ref="L142:L148" si="9">IF(H142&gt;0,(J142*D142)/H142,0)</f>
        <v>0</v>
      </c>
      <c r="M142" s="495"/>
      <c r="N142" s="665">
        <f>L142*J134</f>
        <v>0</v>
      </c>
      <c r="O142" s="495"/>
      <c r="P142" s="665">
        <f>IF(Consolidado_Geral!$G$133=7.6%,-(0.0165+0.076)*N142,0)</f>
        <v>0</v>
      </c>
      <c r="Q142" s="495"/>
      <c r="R142" s="665">
        <f t="shared" si="8"/>
        <v>0</v>
      </c>
      <c r="S142" s="496"/>
    </row>
    <row r="143" spans="1:19">
      <c r="A143" s="495"/>
      <c r="B143" s="77" t="s">
        <v>69</v>
      </c>
      <c r="C143" s="18"/>
      <c r="D143" s="644">
        <v>1</v>
      </c>
      <c r="E143" s="18"/>
      <c r="F143" s="647" t="s">
        <v>63</v>
      </c>
      <c r="G143" s="498"/>
      <c r="H143" s="650"/>
      <c r="I143" s="3"/>
      <c r="J143" s="653"/>
      <c r="K143" s="3"/>
      <c r="L143" s="663">
        <f t="shared" si="9"/>
        <v>0</v>
      </c>
      <c r="M143" s="495"/>
      <c r="N143" s="665">
        <f>L143*J134</f>
        <v>0</v>
      </c>
      <c r="O143" s="495"/>
      <c r="P143" s="665">
        <f>IF(Consolidado_Geral!$G$133=7.6%,-(0.0165+0.076)*N143,0)</f>
        <v>0</v>
      </c>
      <c r="Q143" s="495"/>
      <c r="R143" s="665">
        <f t="shared" si="8"/>
        <v>0</v>
      </c>
      <c r="S143" s="496"/>
    </row>
    <row r="144" spans="1:19">
      <c r="A144" s="495"/>
      <c r="B144" s="77" t="s">
        <v>70</v>
      </c>
      <c r="C144" s="18"/>
      <c r="D144" s="644">
        <v>1</v>
      </c>
      <c r="E144" s="18"/>
      <c r="F144" s="647" t="s">
        <v>63</v>
      </c>
      <c r="G144" s="498"/>
      <c r="H144" s="650"/>
      <c r="I144" s="3"/>
      <c r="J144" s="653"/>
      <c r="K144" s="3"/>
      <c r="L144" s="663">
        <f t="shared" si="9"/>
        <v>0</v>
      </c>
      <c r="M144" s="495"/>
      <c r="N144" s="665">
        <f>L144*J134</f>
        <v>0</v>
      </c>
      <c r="O144" s="495"/>
      <c r="P144" s="665">
        <f>IF(Consolidado_Geral!$G$133=7.6%,-(0.0165+0.076)*N144,0)</f>
        <v>0</v>
      </c>
      <c r="Q144" s="495"/>
      <c r="R144" s="665">
        <f t="shared" si="8"/>
        <v>0</v>
      </c>
      <c r="S144" s="496"/>
    </row>
    <row r="145" spans="1:19">
      <c r="A145" s="495"/>
      <c r="B145" s="77" t="s">
        <v>71</v>
      </c>
      <c r="C145" s="18"/>
      <c r="D145" s="644">
        <v>1</v>
      </c>
      <c r="E145" s="18"/>
      <c r="F145" s="647" t="s">
        <v>63</v>
      </c>
      <c r="G145" s="498"/>
      <c r="H145" s="650"/>
      <c r="I145" s="3"/>
      <c r="J145" s="653"/>
      <c r="K145" s="3"/>
      <c r="L145" s="663">
        <f t="shared" si="9"/>
        <v>0</v>
      </c>
      <c r="M145" s="495"/>
      <c r="N145" s="665">
        <f>L145*J134</f>
        <v>0</v>
      </c>
      <c r="O145" s="495"/>
      <c r="P145" s="665">
        <f>IF(Consolidado_Geral!$G$133=7.6%,-(0.0165+0.076)*N145,0)</f>
        <v>0</v>
      </c>
      <c r="Q145" s="495"/>
      <c r="R145" s="665">
        <f t="shared" si="8"/>
        <v>0</v>
      </c>
      <c r="S145" s="496"/>
    </row>
    <row r="146" spans="1:19">
      <c r="A146" s="495"/>
      <c r="B146" s="680" t="s">
        <v>72</v>
      </c>
      <c r="C146" s="499"/>
      <c r="D146" s="644">
        <v>1</v>
      </c>
      <c r="E146" s="499"/>
      <c r="F146" s="648" t="s">
        <v>63</v>
      </c>
      <c r="G146" s="500"/>
      <c r="H146" s="650"/>
      <c r="I146" s="3"/>
      <c r="J146" s="653"/>
      <c r="K146" s="3"/>
      <c r="L146" s="663">
        <f t="shared" si="9"/>
        <v>0</v>
      </c>
      <c r="M146" s="495"/>
      <c r="N146" s="665">
        <f>L146*J134</f>
        <v>0</v>
      </c>
      <c r="O146" s="495"/>
      <c r="P146" s="665">
        <f>IF(Consolidado_Geral!$G$133=7.6%,-(0.0165+0.076)*N146,0)</f>
        <v>0</v>
      </c>
      <c r="Q146" s="495"/>
      <c r="R146" s="665">
        <f t="shared" si="8"/>
        <v>0</v>
      </c>
      <c r="S146" s="496"/>
    </row>
    <row r="147" spans="1:19">
      <c r="A147" s="495"/>
      <c r="B147" s="77" t="s">
        <v>73</v>
      </c>
      <c r="C147" s="18"/>
      <c r="D147" s="644">
        <v>1</v>
      </c>
      <c r="E147" s="18"/>
      <c r="F147" s="648" t="s">
        <v>29</v>
      </c>
      <c r="G147" s="500"/>
      <c r="H147" s="650"/>
      <c r="I147" s="3"/>
      <c r="J147" s="653"/>
      <c r="K147" s="3"/>
      <c r="L147" s="663">
        <f t="shared" si="9"/>
        <v>0</v>
      </c>
      <c r="M147" s="495"/>
      <c r="N147" s="665">
        <f>L147*J134</f>
        <v>0</v>
      </c>
      <c r="O147" s="495"/>
      <c r="P147" s="665">
        <f>IF(Consolidado_Geral!$G$133=7.6%,-(0.0165+0.076)*N147,0)</f>
        <v>0</v>
      </c>
      <c r="Q147" s="495"/>
      <c r="R147" s="665">
        <f t="shared" si="8"/>
        <v>0</v>
      </c>
      <c r="S147" s="496"/>
    </row>
    <row r="148" spans="1:19" ht="13.5" thickBot="1">
      <c r="A148" s="495"/>
      <c r="B148" s="66" t="s">
        <v>76</v>
      </c>
      <c r="C148" s="3"/>
      <c r="D148" s="645"/>
      <c r="E148" s="3"/>
      <c r="F148" s="649" t="s">
        <v>29</v>
      </c>
      <c r="G148" s="3"/>
      <c r="H148" s="650"/>
      <c r="I148" s="3"/>
      <c r="J148" s="653"/>
      <c r="K148" s="3"/>
      <c r="L148" s="663">
        <f t="shared" si="9"/>
        <v>0</v>
      </c>
      <c r="M148" s="495"/>
      <c r="N148" s="665">
        <f>L148*J134</f>
        <v>0</v>
      </c>
      <c r="O148" s="495"/>
      <c r="P148" s="665">
        <f>IF(Consolidado_Geral!$G$133=7.6%,-(0.0165+0.076)*N148,0)</f>
        <v>0</v>
      </c>
      <c r="Q148" s="495"/>
      <c r="R148" s="665">
        <f t="shared" si="8"/>
        <v>0</v>
      </c>
      <c r="S148" s="496"/>
    </row>
    <row r="149" spans="1:19" ht="13.5" thickBot="1">
      <c r="A149" s="490"/>
      <c r="B149" s="681" t="s">
        <v>230</v>
      </c>
      <c r="C149" s="3"/>
      <c r="D149" s="497"/>
      <c r="E149" s="3"/>
      <c r="F149" s="500"/>
      <c r="G149" s="3"/>
      <c r="H149" s="652"/>
      <c r="I149" s="3"/>
      <c r="J149" s="553">
        <v>2.5000000000000001E-3</v>
      </c>
      <c r="K149" s="3"/>
      <c r="L149" s="664">
        <f>IF(H149&gt;0,J149*(R134-(D141*J141))/H149,0)</f>
        <v>0</v>
      </c>
      <c r="M149" s="490"/>
      <c r="N149" s="666">
        <f>L149*J134</f>
        <v>0</v>
      </c>
      <c r="O149" s="490"/>
      <c r="P149" s="666">
        <f>IF(Consolidado_Geral!$G$133=7.6%,-(0.0165+0.076)*N149,0)</f>
        <v>0</v>
      </c>
      <c r="Q149" s="490"/>
      <c r="R149" s="666">
        <f t="shared" si="8"/>
        <v>0</v>
      </c>
      <c r="S149" s="491"/>
    </row>
    <row r="150" spans="1:19">
      <c r="A150" s="490"/>
      <c r="B150" s="490"/>
      <c r="C150" s="490"/>
      <c r="D150" s="490"/>
      <c r="E150" s="3"/>
      <c r="F150" s="4"/>
      <c r="G150" s="4"/>
      <c r="H150" s="4"/>
      <c r="I150" s="4"/>
      <c r="J150" s="4"/>
      <c r="K150" s="3"/>
      <c r="L150" s="4"/>
      <c r="M150" s="490"/>
      <c r="N150" s="490"/>
      <c r="O150" s="490"/>
      <c r="P150" s="490"/>
      <c r="Q150" s="490"/>
      <c r="R150" s="490"/>
      <c r="S150" s="491"/>
    </row>
    <row r="151" spans="1:19" ht="13.5" thickBot="1">
      <c r="A151" s="495"/>
      <c r="B151" s="3"/>
      <c r="C151" s="3"/>
      <c r="D151" s="44"/>
      <c r="E151" s="3"/>
      <c r="F151" s="3"/>
      <c r="G151" s="3"/>
      <c r="H151" s="501"/>
      <c r="I151" s="36"/>
      <c r="J151" s="682" t="s">
        <v>109</v>
      </c>
      <c r="K151" s="502"/>
      <c r="L151" s="667">
        <f>SUM(L140:L148)</f>
        <v>0</v>
      </c>
      <c r="M151" s="495"/>
      <c r="N151" s="668">
        <f>SUM(N140:N148)</f>
        <v>0</v>
      </c>
      <c r="O151" s="495"/>
      <c r="P151" s="668">
        <f>SUM(P140:P148)</f>
        <v>0</v>
      </c>
      <c r="Q151" s="495"/>
      <c r="R151" s="668">
        <f>SUM(R140:R149)</f>
        <v>0</v>
      </c>
      <c r="S151" s="496"/>
    </row>
    <row r="152" spans="1:19">
      <c r="A152" s="490"/>
      <c r="B152" s="4"/>
      <c r="C152" s="4"/>
      <c r="D152" s="10"/>
      <c r="E152" s="3"/>
      <c r="F152" s="504"/>
      <c r="G152" s="4"/>
      <c r="H152" s="490"/>
      <c r="I152" s="490"/>
      <c r="J152" s="505"/>
      <c r="K152" s="3"/>
      <c r="L152" s="4"/>
      <c r="M152" s="490"/>
      <c r="N152" s="490"/>
      <c r="O152" s="490"/>
      <c r="P152" s="490"/>
      <c r="Q152" s="490"/>
      <c r="R152" s="490"/>
      <c r="S152" s="491"/>
    </row>
    <row r="153" spans="1:19" ht="13.5" thickBot="1">
      <c r="A153" s="492"/>
      <c r="B153" s="639"/>
      <c r="C153" s="640"/>
      <c r="D153" s="640"/>
      <c r="E153" s="640"/>
      <c r="F153" s="640"/>
      <c r="G153" s="641"/>
      <c r="H153" s="640"/>
      <c r="I153" s="640"/>
      <c r="J153" s="656" t="s">
        <v>43</v>
      </c>
      <c r="K153" s="640"/>
      <c r="L153" s="640"/>
      <c r="M153" s="641"/>
      <c r="N153" s="641"/>
      <c r="O153" s="641"/>
      <c r="P153" s="641"/>
      <c r="Q153" s="641"/>
      <c r="R153" s="642"/>
      <c r="S153" s="506"/>
    </row>
    <row r="154" spans="1:19">
      <c r="A154" s="490"/>
      <c r="B154" s="6"/>
      <c r="C154" s="6"/>
      <c r="D154" s="6"/>
      <c r="E154" s="6"/>
      <c r="F154" s="6"/>
      <c r="G154" s="6"/>
      <c r="H154" s="6"/>
      <c r="I154" s="6"/>
      <c r="J154" s="669" t="s">
        <v>81</v>
      </c>
      <c r="K154" s="508"/>
      <c r="L154" s="669" t="s">
        <v>82</v>
      </c>
      <c r="M154" s="490"/>
      <c r="N154" s="490"/>
      <c r="O154" s="490"/>
      <c r="P154" s="490"/>
      <c r="Q154" s="490"/>
      <c r="R154" s="490"/>
      <c r="S154" s="491"/>
    </row>
    <row r="155" spans="1:19" ht="13.5" thickBot="1">
      <c r="A155" s="490"/>
      <c r="B155" s="100" t="s">
        <v>231</v>
      </c>
      <c r="C155" s="672"/>
      <c r="D155" s="672"/>
      <c r="E155" s="672"/>
      <c r="F155" s="672"/>
      <c r="G155" s="672"/>
      <c r="H155" s="672"/>
      <c r="I155" s="6"/>
      <c r="J155" s="654"/>
      <c r="K155" s="6"/>
      <c r="L155" s="670">
        <f>J155/12</f>
        <v>0</v>
      </c>
      <c r="M155" s="490"/>
      <c r="N155" s="490"/>
      <c r="O155" s="490"/>
      <c r="P155" s="490"/>
      <c r="Q155" s="490"/>
      <c r="R155" s="490"/>
      <c r="S155" s="491"/>
    </row>
    <row r="156" spans="1:19">
      <c r="A156" s="490"/>
      <c r="B156" s="672"/>
      <c r="C156" s="672"/>
      <c r="D156" s="672"/>
      <c r="E156" s="672"/>
      <c r="F156" s="672"/>
      <c r="G156" s="672"/>
      <c r="H156" s="672"/>
      <c r="I156" s="6"/>
      <c r="J156" s="6"/>
      <c r="K156" s="6"/>
      <c r="L156" s="671"/>
      <c r="M156" s="490"/>
      <c r="N156" s="490"/>
      <c r="O156" s="490"/>
      <c r="P156" s="490"/>
      <c r="Q156" s="490"/>
      <c r="R156" s="490"/>
      <c r="S156" s="491"/>
    </row>
    <row r="157" spans="1:19" ht="13.5" thickBot="1">
      <c r="A157" s="490"/>
      <c r="B157" s="101" t="s">
        <v>77</v>
      </c>
      <c r="C157" s="672"/>
      <c r="D157" s="672"/>
      <c r="E157" s="672"/>
      <c r="F157" s="672"/>
      <c r="G157" s="672"/>
      <c r="H157" s="672"/>
      <c r="I157" s="6"/>
      <c r="J157" s="654"/>
      <c r="K157" s="6"/>
      <c r="L157" s="670">
        <f>J157/12</f>
        <v>0</v>
      </c>
      <c r="M157" s="490"/>
      <c r="N157" s="490"/>
      <c r="O157" s="490"/>
      <c r="P157" s="560" t="s">
        <v>178</v>
      </c>
      <c r="Q157" s="490"/>
      <c r="R157" s="675">
        <f>L155+L157</f>
        <v>0</v>
      </c>
      <c r="S157" s="491"/>
    </row>
    <row r="158" spans="1:19">
      <c r="A158" s="490"/>
      <c r="B158" s="4"/>
      <c r="C158" s="4"/>
      <c r="D158" s="10"/>
      <c r="E158" s="3"/>
      <c r="F158" s="4"/>
      <c r="G158" s="4"/>
      <c r="H158" s="492"/>
      <c r="I158" s="492"/>
      <c r="J158" s="505"/>
      <c r="K158" s="3"/>
      <c r="L158" s="4"/>
      <c r="M158" s="490"/>
      <c r="N158" s="490"/>
      <c r="O158" s="490"/>
      <c r="P158" s="490"/>
      <c r="Q158" s="490"/>
      <c r="R158" s="490"/>
      <c r="S158" s="491"/>
    </row>
    <row r="159" spans="1:19" ht="15.75" thickBot="1">
      <c r="A159" s="490"/>
      <c r="B159" s="490"/>
      <c r="C159" s="490"/>
      <c r="D159" s="490"/>
      <c r="E159" s="3"/>
      <c r="F159" s="4"/>
      <c r="G159" s="4"/>
      <c r="H159" s="492"/>
      <c r="I159" s="492"/>
      <c r="J159" s="490"/>
      <c r="K159" s="509"/>
      <c r="L159" s="490"/>
      <c r="M159" s="490"/>
      <c r="N159" s="490"/>
      <c r="O159" s="492"/>
      <c r="P159" s="673" t="s">
        <v>44</v>
      </c>
      <c r="Q159" s="643"/>
      <c r="R159" s="674">
        <f>IF(J134&gt;0,R151+R157,0)</f>
        <v>0</v>
      </c>
      <c r="S159" s="491"/>
    </row>
    <row r="160" spans="1:19" ht="15">
      <c r="A160" s="490"/>
      <c r="B160" s="490"/>
      <c r="C160" s="490"/>
      <c r="D160" s="490"/>
      <c r="E160" s="3"/>
      <c r="F160" s="4"/>
      <c r="G160" s="4"/>
      <c r="H160" s="492"/>
      <c r="I160" s="492"/>
      <c r="J160" s="490"/>
      <c r="K160" s="509"/>
      <c r="L160" s="490"/>
      <c r="M160" s="490"/>
      <c r="N160" s="490"/>
      <c r="O160" s="492"/>
      <c r="P160" s="683"/>
      <c r="Q160" s="509"/>
      <c r="R160" s="684"/>
      <c r="S160" s="491"/>
    </row>
    <row r="161" spans="1:19" ht="15">
      <c r="A161" s="490"/>
      <c r="B161" s="490"/>
      <c r="C161" s="490"/>
      <c r="D161" s="490"/>
      <c r="E161" s="3"/>
      <c r="F161" s="4"/>
      <c r="G161" s="4"/>
      <c r="H161" s="492"/>
      <c r="I161" s="492"/>
      <c r="J161" s="490"/>
      <c r="K161" s="509"/>
      <c r="L161" s="490"/>
      <c r="M161" s="490"/>
      <c r="N161" s="490"/>
      <c r="O161" s="492"/>
      <c r="P161" s="683"/>
      <c r="Q161" s="509"/>
      <c r="R161" s="684"/>
      <c r="S161" s="491"/>
    </row>
    <row r="162" spans="1:19" ht="15">
      <c r="A162" s="490"/>
      <c r="B162" s="490"/>
      <c r="C162" s="490"/>
      <c r="D162" s="490"/>
      <c r="E162" s="3"/>
      <c r="F162" s="4"/>
      <c r="G162" s="4"/>
      <c r="H162" s="492"/>
      <c r="I162" s="492"/>
      <c r="J162" s="490"/>
      <c r="K162" s="509"/>
      <c r="L162" s="490"/>
      <c r="M162" s="490"/>
      <c r="N162" s="490"/>
      <c r="O162" s="492"/>
      <c r="P162" s="683"/>
      <c r="Q162" s="509"/>
      <c r="R162" s="684"/>
      <c r="S162" s="491"/>
    </row>
    <row r="163" spans="1:19" ht="15">
      <c r="A163" s="490"/>
      <c r="B163" s="490"/>
      <c r="C163" s="490"/>
      <c r="D163" s="490"/>
      <c r="E163" s="3"/>
      <c r="F163" s="4"/>
      <c r="G163" s="4"/>
      <c r="H163" s="492"/>
      <c r="I163" s="492"/>
      <c r="J163" s="490"/>
      <c r="K163" s="509"/>
      <c r="L163" s="490"/>
      <c r="M163" s="490"/>
      <c r="N163" s="490"/>
      <c r="O163" s="492"/>
      <c r="P163" s="683"/>
      <c r="Q163" s="509"/>
      <c r="R163" s="684"/>
      <c r="S163" s="491"/>
    </row>
    <row r="164" spans="1:19">
      <c r="B164" s="510"/>
      <c r="C164" s="510"/>
      <c r="D164" s="510"/>
      <c r="E164" s="510"/>
      <c r="F164" s="510"/>
      <c r="G164" s="510"/>
      <c r="H164" s="510"/>
      <c r="I164" s="510"/>
      <c r="J164" s="510"/>
      <c r="K164" s="510"/>
      <c r="L164" s="510"/>
    </row>
    <row r="165" spans="1:19">
      <c r="A165" s="490"/>
      <c r="B165" s="490"/>
      <c r="C165" s="490"/>
      <c r="D165" s="490"/>
      <c r="E165" s="490"/>
      <c r="F165" s="490"/>
      <c r="G165" s="490"/>
      <c r="H165" s="490"/>
      <c r="I165" s="490"/>
      <c r="J165" s="490"/>
      <c r="K165" s="490"/>
      <c r="L165" s="490"/>
      <c r="M165" s="490"/>
      <c r="N165" s="490"/>
      <c r="O165" s="490"/>
      <c r="P165" s="490"/>
      <c r="Q165" s="490"/>
      <c r="R165" s="490"/>
      <c r="S165" s="491"/>
    </row>
    <row r="166" spans="1:19" ht="13.5" thickBot="1">
      <c r="A166" s="490"/>
      <c r="B166" s="1073" t="s">
        <v>401</v>
      </c>
      <c r="C166" s="1074"/>
      <c r="D166" s="1074"/>
      <c r="E166" s="1074"/>
      <c r="F166" s="1074"/>
      <c r="G166" s="1074"/>
      <c r="H166" s="1074"/>
      <c r="I166" s="1074"/>
      <c r="J166" s="1074"/>
      <c r="K166" s="1074"/>
      <c r="L166" s="1074"/>
      <c r="M166" s="1074"/>
      <c r="N166" s="1074"/>
      <c r="O166" s="1074"/>
      <c r="P166" s="1074"/>
      <c r="Q166" s="1074"/>
      <c r="R166" s="1075"/>
      <c r="S166" s="491"/>
    </row>
    <row r="167" spans="1:19">
      <c r="A167" s="490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490"/>
      <c r="M167" s="490"/>
      <c r="N167" s="490"/>
      <c r="O167" s="490"/>
      <c r="P167" s="490"/>
      <c r="Q167" s="490"/>
      <c r="R167" s="490"/>
      <c r="S167" s="491"/>
    </row>
    <row r="168" spans="1:19" ht="13.5" thickBot="1">
      <c r="A168" s="490"/>
      <c r="B168" s="676"/>
      <c r="C168" s="66"/>
      <c r="D168" s="677"/>
      <c r="E168" s="77"/>
      <c r="F168" s="678"/>
      <c r="G168" s="679"/>
      <c r="H168" s="73" t="s">
        <v>402</v>
      </c>
      <c r="I168" s="490"/>
      <c r="J168" s="655"/>
      <c r="K168" s="698" t="s">
        <v>495</v>
      </c>
      <c r="L168" s="491"/>
      <c r="N168" s="679"/>
      <c r="O168" s="490"/>
      <c r="P168" s="699" t="s">
        <v>403</v>
      </c>
      <c r="Q168" s="490"/>
      <c r="R168" s="654"/>
      <c r="S168" s="491"/>
    </row>
    <row r="169" spans="1:19">
      <c r="A169" s="490"/>
      <c r="B169" s="3"/>
      <c r="C169" s="3"/>
      <c r="D169" s="8"/>
      <c r="E169" s="18"/>
      <c r="F169" s="492"/>
      <c r="G169" s="3"/>
      <c r="H169" s="492"/>
      <c r="I169" s="492"/>
      <c r="J169" s="493"/>
      <c r="K169" s="490"/>
      <c r="L169" s="494"/>
      <c r="M169" s="490"/>
      <c r="N169" s="490"/>
      <c r="O169" s="490"/>
      <c r="P169" s="490"/>
      <c r="Q169" s="490"/>
      <c r="R169" s="490"/>
      <c r="S169" s="491"/>
    </row>
    <row r="170" spans="1:19" ht="13.5" thickBot="1">
      <c r="A170" s="490"/>
      <c r="B170" s="657"/>
      <c r="C170" s="656"/>
      <c r="D170" s="656"/>
      <c r="E170" s="656"/>
      <c r="F170" s="656"/>
      <c r="G170" s="538"/>
      <c r="H170" s="656"/>
      <c r="I170" s="656"/>
      <c r="J170" s="656" t="s">
        <v>19</v>
      </c>
      <c r="K170" s="656"/>
      <c r="L170" s="656"/>
      <c r="M170" s="538"/>
      <c r="N170" s="538"/>
      <c r="O170" s="538"/>
      <c r="P170" s="538"/>
      <c r="Q170" s="538"/>
      <c r="R170" s="539"/>
      <c r="S170" s="491"/>
    </row>
    <row r="171" spans="1:19">
      <c r="A171" s="490"/>
      <c r="B171" s="3"/>
      <c r="C171" s="3"/>
      <c r="D171" s="3"/>
      <c r="E171" s="3"/>
      <c r="F171" s="4"/>
      <c r="G171" s="4"/>
      <c r="H171" s="4"/>
      <c r="I171" s="4"/>
      <c r="J171" s="4"/>
      <c r="K171" s="3"/>
      <c r="L171" s="490"/>
      <c r="M171" s="490"/>
      <c r="N171" s="490"/>
      <c r="O171" s="490"/>
      <c r="P171" s="490"/>
      <c r="Q171" s="490"/>
      <c r="R171" s="490"/>
      <c r="S171" s="491"/>
    </row>
    <row r="172" spans="1:19" ht="26.25" thickBot="1">
      <c r="A172" s="490"/>
      <c r="B172" s="658" t="s">
        <v>100</v>
      </c>
      <c r="C172" s="659"/>
      <c r="D172" s="656" t="s">
        <v>65</v>
      </c>
      <c r="E172" s="659"/>
      <c r="F172" s="660" t="s">
        <v>66</v>
      </c>
      <c r="G172" s="660"/>
      <c r="H172" s="659" t="s">
        <v>67</v>
      </c>
      <c r="I172" s="581"/>
      <c r="J172" s="656" t="s">
        <v>64</v>
      </c>
      <c r="K172" s="581"/>
      <c r="L172" s="656" t="s">
        <v>404</v>
      </c>
      <c r="M172" s="538"/>
      <c r="N172" s="656" t="s">
        <v>17</v>
      </c>
      <c r="O172" s="538"/>
      <c r="P172" s="661" t="s">
        <v>85</v>
      </c>
      <c r="Q172" s="538"/>
      <c r="R172" s="662" t="s">
        <v>109</v>
      </c>
      <c r="S172" s="491"/>
    </row>
    <row r="173" spans="1:19">
      <c r="A173" s="490"/>
      <c r="B173" s="43"/>
      <c r="C173" s="43"/>
      <c r="D173" s="6"/>
      <c r="E173" s="43"/>
      <c r="F173" s="6"/>
      <c r="G173" s="6"/>
      <c r="H173" s="43"/>
      <c r="I173" s="3"/>
      <c r="J173" s="6"/>
      <c r="K173" s="3"/>
      <c r="L173" s="4"/>
      <c r="M173" s="490"/>
      <c r="N173" s="490"/>
      <c r="O173" s="490"/>
      <c r="P173" s="490"/>
      <c r="Q173" s="490"/>
      <c r="R173" s="490"/>
      <c r="S173" s="491"/>
    </row>
    <row r="174" spans="1:19">
      <c r="A174" s="495"/>
      <c r="B174" s="77" t="s">
        <v>75</v>
      </c>
      <c r="C174" s="43"/>
      <c r="D174" s="644">
        <v>4</v>
      </c>
      <c r="E174" s="18"/>
      <c r="F174" s="646" t="s">
        <v>29</v>
      </c>
      <c r="G174" s="43"/>
      <c r="H174" s="650"/>
      <c r="I174" s="3"/>
      <c r="J174" s="653"/>
      <c r="K174" s="3"/>
      <c r="L174" s="663">
        <f>IF(H174&gt;0,(J174*D174)/H174,0)</f>
        <v>0</v>
      </c>
      <c r="M174" s="495"/>
      <c r="N174" s="665">
        <f>L174*J168</f>
        <v>0</v>
      </c>
      <c r="O174" s="495"/>
      <c r="P174" s="665">
        <f>IF(Consolidado_Geral!$G$133=7.6%,-(0.0165+0.076)*N174,0)</f>
        <v>0</v>
      </c>
      <c r="Q174" s="495"/>
      <c r="R174" s="665">
        <f t="shared" ref="R174:R183" si="10">N174+P174</f>
        <v>0</v>
      </c>
      <c r="S174" s="496"/>
    </row>
    <row r="175" spans="1:19">
      <c r="A175" s="495"/>
      <c r="B175" s="77" t="s">
        <v>74</v>
      </c>
      <c r="C175" s="18"/>
      <c r="D175" s="644">
        <v>1</v>
      </c>
      <c r="E175" s="18"/>
      <c r="F175" s="646" t="s">
        <v>63</v>
      </c>
      <c r="G175" s="43"/>
      <c r="H175" s="651"/>
      <c r="I175" s="3"/>
      <c r="J175" s="653"/>
      <c r="K175" s="3"/>
      <c r="L175" s="663">
        <f>IF(H175&gt;0,(J175*D175)/H175,0)</f>
        <v>0</v>
      </c>
      <c r="M175" s="495"/>
      <c r="N175" s="665">
        <f>L175*J168</f>
        <v>0</v>
      </c>
      <c r="O175" s="495"/>
      <c r="P175" s="665">
        <f>IF(Consolidado_Geral!$G$133=7.6%,-(0.0165+0.076)*N175,0)</f>
        <v>0</v>
      </c>
      <c r="Q175" s="495"/>
      <c r="R175" s="665">
        <f t="shared" si="10"/>
        <v>0</v>
      </c>
      <c r="S175" s="496"/>
    </row>
    <row r="176" spans="1:19">
      <c r="A176" s="495"/>
      <c r="B176" s="77" t="s">
        <v>68</v>
      </c>
      <c r="C176" s="18"/>
      <c r="D176" s="644"/>
      <c r="E176" s="18"/>
      <c r="F176" s="647" t="s">
        <v>63</v>
      </c>
      <c r="G176" s="498"/>
      <c r="H176" s="650"/>
      <c r="I176" s="3"/>
      <c r="J176" s="653"/>
      <c r="K176" s="3"/>
      <c r="L176" s="663">
        <f t="shared" ref="L176:L182" si="11">IF(H176&gt;0,(J176*D176)/H176,0)</f>
        <v>0</v>
      </c>
      <c r="M176" s="495"/>
      <c r="N176" s="665">
        <f>L176*J168</f>
        <v>0</v>
      </c>
      <c r="O176" s="495"/>
      <c r="P176" s="665">
        <f>IF(Consolidado_Geral!$G$133=7.6%,-(0.0165+0.076)*N176,0)</f>
        <v>0</v>
      </c>
      <c r="Q176" s="495"/>
      <c r="R176" s="665">
        <f t="shared" si="10"/>
        <v>0</v>
      </c>
      <c r="S176" s="496"/>
    </row>
    <row r="177" spans="1:19">
      <c r="A177" s="495"/>
      <c r="B177" s="77" t="s">
        <v>69</v>
      </c>
      <c r="C177" s="18"/>
      <c r="D177" s="644">
        <v>1</v>
      </c>
      <c r="E177" s="18"/>
      <c r="F177" s="647" t="s">
        <v>63</v>
      </c>
      <c r="G177" s="498"/>
      <c r="H177" s="650"/>
      <c r="I177" s="3"/>
      <c r="J177" s="653"/>
      <c r="K177" s="3"/>
      <c r="L177" s="663">
        <f t="shared" si="11"/>
        <v>0</v>
      </c>
      <c r="M177" s="495"/>
      <c r="N177" s="665">
        <f>L177*J168</f>
        <v>0</v>
      </c>
      <c r="O177" s="495"/>
      <c r="P177" s="665">
        <f>IF(Consolidado_Geral!$G$133=7.6%,-(0.0165+0.076)*N177,0)</f>
        <v>0</v>
      </c>
      <c r="Q177" s="495"/>
      <c r="R177" s="665">
        <f t="shared" si="10"/>
        <v>0</v>
      </c>
      <c r="S177" s="496"/>
    </row>
    <row r="178" spans="1:19">
      <c r="A178" s="495"/>
      <c r="B178" s="77" t="s">
        <v>70</v>
      </c>
      <c r="C178" s="18"/>
      <c r="D178" s="644">
        <v>1</v>
      </c>
      <c r="E178" s="18"/>
      <c r="F178" s="647" t="s">
        <v>63</v>
      </c>
      <c r="G178" s="498"/>
      <c r="H178" s="650"/>
      <c r="I178" s="3"/>
      <c r="J178" s="653"/>
      <c r="K178" s="3"/>
      <c r="L178" s="663">
        <f t="shared" si="11"/>
        <v>0</v>
      </c>
      <c r="M178" s="495"/>
      <c r="N178" s="665">
        <f>L178*J168</f>
        <v>0</v>
      </c>
      <c r="O178" s="495"/>
      <c r="P178" s="665">
        <f>IF(Consolidado_Geral!$G$133=7.6%,-(0.0165+0.076)*N178,0)</f>
        <v>0</v>
      </c>
      <c r="Q178" s="495"/>
      <c r="R178" s="665">
        <f t="shared" si="10"/>
        <v>0</v>
      </c>
      <c r="S178" s="496"/>
    </row>
    <row r="179" spans="1:19">
      <c r="A179" s="495"/>
      <c r="B179" s="77" t="s">
        <v>71</v>
      </c>
      <c r="C179" s="18"/>
      <c r="D179" s="644">
        <v>1</v>
      </c>
      <c r="E179" s="18"/>
      <c r="F179" s="647" t="s">
        <v>63</v>
      </c>
      <c r="G179" s="498"/>
      <c r="H179" s="650"/>
      <c r="I179" s="3"/>
      <c r="J179" s="653"/>
      <c r="K179" s="3"/>
      <c r="L179" s="663">
        <f t="shared" si="11"/>
        <v>0</v>
      </c>
      <c r="M179" s="495"/>
      <c r="N179" s="665">
        <f>L179*J168</f>
        <v>0</v>
      </c>
      <c r="O179" s="495"/>
      <c r="P179" s="665">
        <f>IF(Consolidado_Geral!$G$133=7.6%,-(0.0165+0.076)*N179,0)</f>
        <v>0</v>
      </c>
      <c r="Q179" s="495"/>
      <c r="R179" s="665">
        <f t="shared" si="10"/>
        <v>0</v>
      </c>
      <c r="S179" s="496"/>
    </row>
    <row r="180" spans="1:19">
      <c r="A180" s="495"/>
      <c r="B180" s="680" t="s">
        <v>72</v>
      </c>
      <c r="C180" s="499"/>
      <c r="D180" s="644">
        <v>1</v>
      </c>
      <c r="E180" s="499"/>
      <c r="F180" s="648" t="s">
        <v>63</v>
      </c>
      <c r="G180" s="500"/>
      <c r="H180" s="650"/>
      <c r="I180" s="3"/>
      <c r="J180" s="653"/>
      <c r="K180" s="3"/>
      <c r="L180" s="663">
        <f t="shared" si="11"/>
        <v>0</v>
      </c>
      <c r="M180" s="495"/>
      <c r="N180" s="665">
        <f>L180*J168</f>
        <v>0</v>
      </c>
      <c r="O180" s="495"/>
      <c r="P180" s="665">
        <f>IF(Consolidado_Geral!$G$133=7.6%,-(0.0165+0.076)*N180,0)</f>
        <v>0</v>
      </c>
      <c r="Q180" s="495"/>
      <c r="R180" s="665">
        <f t="shared" si="10"/>
        <v>0</v>
      </c>
      <c r="S180" s="496"/>
    </row>
    <row r="181" spans="1:19">
      <c r="A181" s="495"/>
      <c r="B181" s="77" t="s">
        <v>73</v>
      </c>
      <c r="C181" s="18"/>
      <c r="D181" s="644">
        <v>1</v>
      </c>
      <c r="E181" s="18"/>
      <c r="F181" s="648" t="s">
        <v>29</v>
      </c>
      <c r="G181" s="500"/>
      <c r="H181" s="650"/>
      <c r="I181" s="3"/>
      <c r="J181" s="653"/>
      <c r="K181" s="3"/>
      <c r="L181" s="663">
        <f t="shared" si="11"/>
        <v>0</v>
      </c>
      <c r="M181" s="495"/>
      <c r="N181" s="665">
        <f>L181*J168</f>
        <v>0</v>
      </c>
      <c r="O181" s="495"/>
      <c r="P181" s="665">
        <f>IF(Consolidado_Geral!$G$133=7.6%,-(0.0165+0.076)*N181,0)</f>
        <v>0</v>
      </c>
      <c r="Q181" s="495"/>
      <c r="R181" s="665">
        <f t="shared" si="10"/>
        <v>0</v>
      </c>
      <c r="S181" s="496"/>
    </row>
    <row r="182" spans="1:19" ht="13.5" thickBot="1">
      <c r="A182" s="495"/>
      <c r="B182" s="66" t="s">
        <v>76</v>
      </c>
      <c r="C182" s="3"/>
      <c r="D182" s="645"/>
      <c r="E182" s="3"/>
      <c r="F182" s="649" t="s">
        <v>29</v>
      </c>
      <c r="G182" s="3"/>
      <c r="H182" s="650"/>
      <c r="I182" s="3"/>
      <c r="J182" s="653"/>
      <c r="K182" s="3"/>
      <c r="L182" s="663">
        <f t="shared" si="11"/>
        <v>0</v>
      </c>
      <c r="M182" s="495"/>
      <c r="N182" s="665">
        <f>L182*J168</f>
        <v>0</v>
      </c>
      <c r="O182" s="495"/>
      <c r="P182" s="665">
        <f>IF(Consolidado_Geral!$G$133=7.6%,-(0.0165+0.076)*N182,0)</f>
        <v>0</v>
      </c>
      <c r="Q182" s="495"/>
      <c r="R182" s="665">
        <f t="shared" si="10"/>
        <v>0</v>
      </c>
      <c r="S182" s="496"/>
    </row>
    <row r="183" spans="1:19" ht="13.5" thickBot="1">
      <c r="A183" s="490"/>
      <c r="B183" s="681" t="s">
        <v>230</v>
      </c>
      <c r="C183" s="3"/>
      <c r="D183" s="497"/>
      <c r="E183" s="3"/>
      <c r="F183" s="500"/>
      <c r="G183" s="3"/>
      <c r="H183" s="652"/>
      <c r="I183" s="3"/>
      <c r="J183" s="553">
        <v>2.5000000000000001E-3</v>
      </c>
      <c r="K183" s="3"/>
      <c r="L183" s="664">
        <f>IF(H183&gt;0,J183*(R168-(D175*J175))/H183,0)</f>
        <v>0</v>
      </c>
      <c r="M183" s="490"/>
      <c r="N183" s="666">
        <f>L183*J168</f>
        <v>0</v>
      </c>
      <c r="O183" s="490"/>
      <c r="P183" s="666">
        <f>IF(Consolidado_Geral!$G$133=7.6%,-(0.0165+0.076)*N183,0)</f>
        <v>0</v>
      </c>
      <c r="Q183" s="490"/>
      <c r="R183" s="666">
        <f t="shared" si="10"/>
        <v>0</v>
      </c>
      <c r="S183" s="491"/>
    </row>
    <row r="184" spans="1:19">
      <c r="A184" s="490"/>
      <c r="B184" s="490"/>
      <c r="C184" s="490"/>
      <c r="D184" s="490"/>
      <c r="E184" s="3"/>
      <c r="F184" s="4"/>
      <c r="G184" s="4"/>
      <c r="H184" s="4"/>
      <c r="I184" s="4"/>
      <c r="J184" s="4"/>
      <c r="K184" s="3"/>
      <c r="L184" s="4"/>
      <c r="M184" s="490"/>
      <c r="N184" s="490"/>
      <c r="O184" s="490"/>
      <c r="P184" s="490"/>
      <c r="Q184" s="490"/>
      <c r="R184" s="490"/>
      <c r="S184" s="491"/>
    </row>
    <row r="185" spans="1:19" ht="13.5" thickBot="1">
      <c r="A185" s="495"/>
      <c r="B185" s="3"/>
      <c r="C185" s="3"/>
      <c r="D185" s="44"/>
      <c r="E185" s="3"/>
      <c r="F185" s="3"/>
      <c r="G185" s="3"/>
      <c r="H185" s="501"/>
      <c r="I185" s="36"/>
      <c r="J185" s="682" t="s">
        <v>109</v>
      </c>
      <c r="K185" s="502"/>
      <c r="L185" s="667">
        <f>SUM(L174:L182)</f>
        <v>0</v>
      </c>
      <c r="M185" s="495"/>
      <c r="N185" s="668">
        <f>SUM(N174:N182)</f>
        <v>0</v>
      </c>
      <c r="O185" s="495"/>
      <c r="P185" s="668">
        <f>SUM(P174:P182)</f>
        <v>0</v>
      </c>
      <c r="Q185" s="495"/>
      <c r="R185" s="668">
        <f>SUM(R174:R183)</f>
        <v>0</v>
      </c>
      <c r="S185" s="496"/>
    </row>
    <row r="186" spans="1:19">
      <c r="A186" s="490"/>
      <c r="B186" s="4"/>
      <c r="C186" s="4"/>
      <c r="D186" s="10"/>
      <c r="E186" s="3"/>
      <c r="F186" s="504"/>
      <c r="G186" s="4"/>
      <c r="H186" s="490"/>
      <c r="I186" s="490"/>
      <c r="J186" s="505"/>
      <c r="K186" s="3"/>
      <c r="L186" s="4"/>
      <c r="M186" s="490"/>
      <c r="N186" s="490"/>
      <c r="O186" s="490"/>
      <c r="P186" s="490"/>
      <c r="Q186" s="490"/>
      <c r="R186" s="490"/>
      <c r="S186" s="491"/>
    </row>
    <row r="187" spans="1:19" ht="13.5" thickBot="1">
      <c r="A187" s="492"/>
      <c r="B187" s="639"/>
      <c r="C187" s="640"/>
      <c r="D187" s="640"/>
      <c r="E187" s="640"/>
      <c r="F187" s="640"/>
      <c r="G187" s="641"/>
      <c r="H187" s="640"/>
      <c r="I187" s="640"/>
      <c r="J187" s="656" t="s">
        <v>43</v>
      </c>
      <c r="K187" s="640"/>
      <c r="L187" s="640"/>
      <c r="M187" s="641"/>
      <c r="N187" s="641"/>
      <c r="O187" s="641"/>
      <c r="P187" s="641"/>
      <c r="Q187" s="641"/>
      <c r="R187" s="642"/>
      <c r="S187" s="506"/>
    </row>
    <row r="188" spans="1:19">
      <c r="A188" s="490"/>
      <c r="B188" s="6"/>
      <c r="C188" s="6"/>
      <c r="D188" s="6"/>
      <c r="E188" s="6"/>
      <c r="F188" s="6"/>
      <c r="G188" s="6"/>
      <c r="H188" s="6"/>
      <c r="I188" s="6"/>
      <c r="J188" s="669" t="s">
        <v>81</v>
      </c>
      <c r="K188" s="508"/>
      <c r="L188" s="669" t="s">
        <v>82</v>
      </c>
      <c r="M188" s="490"/>
      <c r="N188" s="490"/>
      <c r="O188" s="490"/>
      <c r="P188" s="490"/>
      <c r="Q188" s="490"/>
      <c r="R188" s="490"/>
      <c r="S188" s="491"/>
    </row>
    <row r="189" spans="1:19" ht="13.5" thickBot="1">
      <c r="A189" s="490"/>
      <c r="B189" s="100" t="s">
        <v>231</v>
      </c>
      <c r="C189" s="672"/>
      <c r="D189" s="672"/>
      <c r="E189" s="672"/>
      <c r="F189" s="672"/>
      <c r="G189" s="672"/>
      <c r="H189" s="672"/>
      <c r="I189" s="6"/>
      <c r="J189" s="654"/>
      <c r="K189" s="6"/>
      <c r="L189" s="670">
        <f>J189/12</f>
        <v>0</v>
      </c>
      <c r="M189" s="490"/>
      <c r="N189" s="490"/>
      <c r="O189" s="490"/>
      <c r="P189" s="490"/>
      <c r="Q189" s="490"/>
      <c r="R189" s="490"/>
      <c r="S189" s="491"/>
    </row>
    <row r="190" spans="1:19">
      <c r="A190" s="490"/>
      <c r="B190" s="672"/>
      <c r="C190" s="672"/>
      <c r="D190" s="672"/>
      <c r="E190" s="672"/>
      <c r="F190" s="672"/>
      <c r="G190" s="672"/>
      <c r="H190" s="672"/>
      <c r="I190" s="6"/>
      <c r="J190" s="6"/>
      <c r="K190" s="6"/>
      <c r="L190" s="671"/>
      <c r="M190" s="490"/>
      <c r="N190" s="490"/>
      <c r="O190" s="490"/>
      <c r="P190" s="490"/>
      <c r="Q190" s="490"/>
      <c r="R190" s="490"/>
      <c r="S190" s="491"/>
    </row>
    <row r="191" spans="1:19" ht="13.5" thickBot="1">
      <c r="A191" s="490"/>
      <c r="B191" s="101" t="s">
        <v>77</v>
      </c>
      <c r="C191" s="672"/>
      <c r="D191" s="672"/>
      <c r="E191" s="672"/>
      <c r="F191" s="672"/>
      <c r="G191" s="672"/>
      <c r="H191" s="672"/>
      <c r="I191" s="6"/>
      <c r="J191" s="654"/>
      <c r="K191" s="6"/>
      <c r="L191" s="670">
        <f>J191/12</f>
        <v>0</v>
      </c>
      <c r="M191" s="490"/>
      <c r="N191" s="490"/>
      <c r="O191" s="490"/>
      <c r="P191" s="560" t="s">
        <v>178</v>
      </c>
      <c r="Q191" s="490"/>
      <c r="R191" s="675">
        <f>L189+L191</f>
        <v>0</v>
      </c>
      <c r="S191" s="491"/>
    </row>
    <row r="192" spans="1:19">
      <c r="A192" s="490"/>
      <c r="B192" s="4"/>
      <c r="C192" s="4"/>
      <c r="D192" s="10"/>
      <c r="E192" s="3"/>
      <c r="F192" s="4"/>
      <c r="G192" s="4"/>
      <c r="H192" s="492"/>
      <c r="I192" s="492"/>
      <c r="J192" s="505"/>
      <c r="K192" s="3"/>
      <c r="L192" s="4"/>
      <c r="M192" s="490"/>
      <c r="N192" s="490"/>
      <c r="O192" s="490"/>
      <c r="P192" s="490"/>
      <c r="Q192" s="490"/>
      <c r="R192" s="490"/>
      <c r="S192" s="491"/>
    </row>
    <row r="193" spans="1:19" ht="15.75" thickBot="1">
      <c r="A193" s="490"/>
      <c r="B193" s="490"/>
      <c r="C193" s="490"/>
      <c r="D193" s="490"/>
      <c r="E193" s="3"/>
      <c r="F193" s="4"/>
      <c r="G193" s="4"/>
      <c r="H193" s="492"/>
      <c r="I193" s="492"/>
      <c r="J193" s="490"/>
      <c r="K193" s="509"/>
      <c r="L193" s="490"/>
      <c r="M193" s="490"/>
      <c r="N193" s="490"/>
      <c r="O193" s="492"/>
      <c r="P193" s="673" t="s">
        <v>44</v>
      </c>
      <c r="Q193" s="643"/>
      <c r="R193" s="674">
        <f>IF(J168&gt;0,R185+R191,0)</f>
        <v>0</v>
      </c>
      <c r="S193" s="491"/>
    </row>
    <row r="194" spans="1:19">
      <c r="B194" s="510"/>
      <c r="C194" s="510"/>
      <c r="D194" s="510"/>
      <c r="E194" s="510"/>
      <c r="F194" s="510"/>
      <c r="G194" s="510"/>
      <c r="H194" s="510"/>
      <c r="I194" s="510"/>
      <c r="J194" s="510"/>
      <c r="K194" s="510"/>
      <c r="L194" s="510"/>
    </row>
    <row r="195" spans="1:19">
      <c r="B195" s="510"/>
      <c r="C195" s="510"/>
      <c r="D195" s="510"/>
      <c r="E195" s="510"/>
      <c r="F195" s="510"/>
      <c r="G195" s="510"/>
      <c r="H195" s="510"/>
      <c r="I195" s="510"/>
      <c r="J195" s="510"/>
      <c r="K195" s="510"/>
      <c r="L195" s="510"/>
    </row>
    <row r="196" spans="1:19">
      <c r="B196" s="510"/>
      <c r="C196" s="510"/>
      <c r="D196" s="510"/>
      <c r="E196" s="510"/>
      <c r="F196" s="510"/>
      <c r="G196" s="510"/>
      <c r="H196" s="510"/>
      <c r="I196" s="510"/>
      <c r="J196" s="510"/>
      <c r="K196" s="510"/>
      <c r="L196" s="510"/>
    </row>
    <row r="197" spans="1:19">
      <c r="B197" s="510"/>
      <c r="C197" s="510"/>
      <c r="D197" s="510"/>
      <c r="E197" s="510"/>
      <c r="F197" s="510"/>
      <c r="G197" s="510"/>
      <c r="H197" s="510"/>
      <c r="I197" s="510"/>
      <c r="J197" s="510"/>
      <c r="K197" s="510"/>
      <c r="L197" s="510"/>
    </row>
    <row r="198" spans="1:19">
      <c r="B198" s="510"/>
      <c r="C198" s="510"/>
      <c r="D198" s="510"/>
      <c r="E198" s="510"/>
      <c r="F198" s="510"/>
      <c r="G198" s="510"/>
      <c r="H198" s="510"/>
      <c r="I198" s="510"/>
      <c r="J198" s="510"/>
      <c r="K198" s="510"/>
      <c r="L198" s="510"/>
    </row>
    <row r="199" spans="1:19">
      <c r="B199" s="510"/>
      <c r="C199" s="510"/>
      <c r="D199" s="510"/>
      <c r="E199" s="510"/>
      <c r="F199" s="510"/>
      <c r="G199" s="510"/>
      <c r="H199" s="510"/>
      <c r="I199" s="510"/>
      <c r="J199" s="510"/>
      <c r="K199" s="510"/>
      <c r="L199" s="510"/>
    </row>
    <row r="200" spans="1:19">
      <c r="B200" s="510"/>
      <c r="C200" s="510"/>
      <c r="D200" s="510"/>
      <c r="E200" s="510"/>
      <c r="F200" s="510"/>
      <c r="G200" s="510"/>
      <c r="H200" s="510"/>
      <c r="I200" s="510"/>
      <c r="J200" s="510"/>
      <c r="K200" s="510"/>
      <c r="L200" s="510"/>
    </row>
    <row r="201" spans="1:19">
      <c r="B201" s="510"/>
      <c r="C201" s="510"/>
      <c r="D201" s="510"/>
      <c r="E201" s="510"/>
      <c r="F201" s="510"/>
      <c r="G201" s="510"/>
      <c r="H201" s="510"/>
      <c r="I201" s="510"/>
      <c r="J201" s="510"/>
      <c r="K201" s="510"/>
      <c r="L201" s="510"/>
    </row>
    <row r="202" spans="1:19">
      <c r="B202" s="510"/>
      <c r="C202" s="510"/>
      <c r="D202" s="510"/>
      <c r="E202" s="510"/>
      <c r="F202" s="510"/>
      <c r="G202" s="510"/>
      <c r="H202" s="510"/>
      <c r="I202" s="510"/>
      <c r="J202" s="510"/>
      <c r="K202" s="510"/>
      <c r="L202" s="510"/>
    </row>
    <row r="203" spans="1:19">
      <c r="B203" s="510"/>
      <c r="C203" s="510"/>
      <c r="D203" s="510"/>
      <c r="E203" s="510"/>
      <c r="F203" s="510"/>
      <c r="G203" s="510"/>
      <c r="H203" s="510"/>
      <c r="I203" s="510"/>
      <c r="J203" s="510"/>
      <c r="K203" s="510"/>
      <c r="L203" s="510"/>
    </row>
    <row r="204" spans="1:19">
      <c r="B204" s="510"/>
      <c r="C204" s="510"/>
      <c r="D204" s="510"/>
      <c r="E204" s="510"/>
      <c r="F204" s="510"/>
      <c r="G204" s="510"/>
      <c r="H204" s="510"/>
      <c r="I204" s="510"/>
      <c r="J204" s="510"/>
      <c r="K204" s="510"/>
      <c r="L204" s="510"/>
    </row>
    <row r="205" spans="1:19">
      <c r="B205" s="510"/>
      <c r="C205" s="510"/>
      <c r="D205" s="510"/>
      <c r="E205" s="510"/>
      <c r="F205" s="510"/>
      <c r="G205" s="510"/>
      <c r="H205" s="510"/>
      <c r="I205" s="510"/>
      <c r="J205" s="510"/>
      <c r="K205" s="510"/>
      <c r="L205" s="510"/>
    </row>
    <row r="206" spans="1:19">
      <c r="B206" s="510"/>
      <c r="C206" s="510"/>
      <c r="D206" s="510"/>
      <c r="E206" s="510"/>
      <c r="F206" s="510"/>
      <c r="G206" s="510"/>
      <c r="H206" s="510"/>
      <c r="I206" s="510"/>
      <c r="J206" s="510"/>
      <c r="K206" s="510"/>
      <c r="L206" s="510"/>
    </row>
    <row r="207" spans="1:19">
      <c r="B207" s="510"/>
      <c r="C207" s="510"/>
      <c r="D207" s="510"/>
      <c r="E207" s="510"/>
      <c r="F207" s="510"/>
      <c r="G207" s="510"/>
      <c r="H207" s="510"/>
      <c r="I207" s="510"/>
      <c r="J207" s="510"/>
      <c r="K207" s="510"/>
      <c r="L207" s="510"/>
    </row>
    <row r="208" spans="1:19">
      <c r="B208" s="510"/>
      <c r="C208" s="510"/>
      <c r="D208" s="510"/>
      <c r="E208" s="510"/>
      <c r="F208" s="510"/>
      <c r="G208" s="510"/>
      <c r="H208" s="510"/>
      <c r="I208" s="510"/>
      <c r="J208" s="510"/>
      <c r="K208" s="510"/>
      <c r="L208" s="510"/>
    </row>
    <row r="209" spans="2:12">
      <c r="B209" s="510"/>
      <c r="C209" s="510"/>
      <c r="D209" s="510"/>
      <c r="E209" s="510"/>
      <c r="F209" s="510"/>
      <c r="G209" s="510"/>
      <c r="H209" s="510"/>
      <c r="I209" s="510"/>
      <c r="J209" s="510"/>
      <c r="K209" s="510"/>
      <c r="L209" s="510"/>
    </row>
  </sheetData>
  <sheetProtection password="D998" sheet="1" objects="1" scenarios="1" formatColumns="0" formatRows="0"/>
  <mergeCells count="6">
    <mergeCell ref="B166:R166"/>
    <mergeCell ref="B4:R4"/>
    <mergeCell ref="B38:R38"/>
    <mergeCell ref="B68:R68"/>
    <mergeCell ref="B102:R102"/>
    <mergeCell ref="B132:R132"/>
  </mergeCells>
  <phoneticPr fontId="0" type="noConversion"/>
  <printOptions horizontalCentered="1"/>
  <pageMargins left="0.55118110236220474" right="0.35433070866141736" top="1" bottom="0.98425196850393704" header="0.51181102362204722" footer="0.51181102362204722"/>
  <pageSetup paperSize="9" scale="80" orientation="portrait" blackAndWhite="1" r:id="rId1"/>
  <headerFooter alignWithMargins="0">
    <oddFooter>&amp;R&amp;F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</sheetPr>
  <dimension ref="A1:M94"/>
  <sheetViews>
    <sheetView showGridLines="0" showZeros="0" workbookViewId="0">
      <pane ySplit="9" topLeftCell="A10" activePane="bottomLeft" state="frozenSplit"/>
      <selection activeCell="A9" sqref="A9:IV9"/>
      <selection pane="bottomLeft" activeCell="G12" sqref="G12:G13"/>
    </sheetView>
  </sheetViews>
  <sheetFormatPr defaultRowHeight="12.75"/>
  <cols>
    <col min="1" max="1" width="9.140625" style="700"/>
    <col min="2" max="2" width="2.5703125" style="700" customWidth="1"/>
    <col min="3" max="3" width="25.7109375" style="701" customWidth="1"/>
    <col min="4" max="4" width="1.28515625" style="700" customWidth="1"/>
    <col min="5" max="5" width="5.5703125" style="700" customWidth="1"/>
    <col min="6" max="6" width="1.140625" style="700" customWidth="1"/>
    <col min="7" max="7" width="13.42578125" style="700" customWidth="1"/>
    <col min="8" max="8" width="1.140625" style="700" customWidth="1"/>
    <col min="9" max="9" width="13.7109375" style="700" customWidth="1"/>
    <col min="10" max="10" width="1.140625" style="700" customWidth="1"/>
    <col min="11" max="11" width="13.7109375" style="700" customWidth="1"/>
    <col min="12" max="12" width="2.28515625" style="700" customWidth="1"/>
    <col min="13" max="16384" width="9.140625" style="700"/>
  </cols>
  <sheetData>
    <row r="1" spans="1:13" ht="6" customHeight="1"/>
    <row r="2" spans="1:13" ht="14.25" customHeight="1">
      <c r="D2" s="701"/>
      <c r="E2" s="701"/>
      <c r="F2" s="701"/>
      <c r="G2" s="701"/>
      <c r="H2" s="701"/>
      <c r="I2" s="701"/>
      <c r="J2" s="701"/>
      <c r="K2" s="701"/>
      <c r="L2" s="701"/>
      <c r="M2" s="701"/>
    </row>
    <row r="4" spans="1:13" s="703" customFormat="1" ht="16.5" customHeight="1" thickBot="1">
      <c r="A4" s="702"/>
      <c r="B4" s="1079" t="s">
        <v>237</v>
      </c>
      <c r="C4" s="1080"/>
      <c r="D4" s="1080"/>
      <c r="E4" s="1080"/>
      <c r="F4" s="1080"/>
      <c r="G4" s="1080"/>
      <c r="H4" s="1080"/>
      <c r="I4" s="1080"/>
      <c r="J4" s="1080"/>
      <c r="K4" s="1081"/>
      <c r="L4" s="702"/>
      <c r="M4" s="702"/>
    </row>
    <row r="5" spans="1:13" ht="7.5" customHeight="1">
      <c r="A5" s="490"/>
      <c r="B5" s="562"/>
      <c r="C5" s="704"/>
      <c r="D5" s="509"/>
      <c r="E5" s="705"/>
      <c r="F5" s="705"/>
      <c r="G5" s="706"/>
      <c r="H5" s="4"/>
      <c r="I5" s="706"/>
      <c r="J5" s="706"/>
      <c r="K5" s="706"/>
      <c r="L5" s="706"/>
      <c r="M5" s="706"/>
    </row>
    <row r="6" spans="1:13" ht="17.25" customHeight="1">
      <c r="A6" s="490"/>
      <c r="B6" s="562"/>
      <c r="C6" s="778" t="s">
        <v>462</v>
      </c>
      <c r="D6" s="1082">
        <f>Dados!C18</f>
        <v>12</v>
      </c>
      <c r="E6" s="1083"/>
      <c r="F6" s="1084"/>
      <c r="G6" s="882" t="s">
        <v>572</v>
      </c>
      <c r="H6" s="4"/>
      <c r="I6" s="706"/>
      <c r="J6" s="706"/>
      <c r="K6" s="706"/>
      <c r="L6" s="706"/>
      <c r="M6" s="706"/>
    </row>
    <row r="7" spans="1:13" ht="18.75" customHeight="1" thickBot="1">
      <c r="A7" s="490"/>
      <c r="B7" s="562"/>
      <c r="C7" s="779"/>
      <c r="D7" s="509"/>
      <c r="E7" s="705"/>
      <c r="F7" s="705"/>
      <c r="G7" s="705"/>
      <c r="H7" s="705"/>
      <c r="I7" s="705"/>
      <c r="J7" s="706"/>
      <c r="K7" s="725">
        <f>TRUNC((SUM(K12:K89)),2)</f>
        <v>0</v>
      </c>
      <c r="L7" s="706"/>
      <c r="M7" s="706"/>
    </row>
    <row r="8" spans="1:13">
      <c r="A8" s="707"/>
      <c r="B8" s="708"/>
      <c r="C8" s="709">
        <v>1</v>
      </c>
      <c r="D8" s="710"/>
      <c r="E8" s="711">
        <v>2</v>
      </c>
      <c r="F8" s="712"/>
      <c r="G8" s="711">
        <v>3</v>
      </c>
      <c r="H8" s="712"/>
      <c r="I8" s="709">
        <v>4</v>
      </c>
      <c r="J8" s="780"/>
      <c r="K8" s="709">
        <v>5</v>
      </c>
      <c r="L8" s="706"/>
      <c r="M8" s="706"/>
    </row>
    <row r="9" spans="1:13" ht="30" customHeight="1" thickBot="1">
      <c r="A9" s="704"/>
      <c r="B9" s="713"/>
      <c r="C9" s="718" t="s">
        <v>87</v>
      </c>
      <c r="D9" s="714"/>
      <c r="E9" s="718" t="s">
        <v>208</v>
      </c>
      <c r="F9" s="715"/>
      <c r="G9" s="718" t="s">
        <v>115</v>
      </c>
      <c r="H9" s="716"/>
      <c r="I9" s="718" t="s">
        <v>127</v>
      </c>
      <c r="J9" s="706"/>
      <c r="K9" s="718" t="s">
        <v>82</v>
      </c>
      <c r="L9" s="706"/>
      <c r="M9" s="706"/>
    </row>
    <row r="10" spans="1:13" ht="5.25" customHeight="1">
      <c r="A10" s="704"/>
      <c r="B10" s="713"/>
      <c r="C10" s="509"/>
      <c r="D10" s="714"/>
      <c r="E10" s="509"/>
      <c r="F10" s="715"/>
      <c r="G10" s="509"/>
      <c r="H10" s="716"/>
      <c r="I10" s="509"/>
      <c r="J10" s="706"/>
      <c r="K10" s="509"/>
      <c r="L10" s="706"/>
      <c r="M10" s="706"/>
    </row>
    <row r="11" spans="1:13" ht="9" customHeight="1">
      <c r="A11" s="704"/>
      <c r="B11" s="713"/>
      <c r="C11" s="509"/>
      <c r="D11" s="714"/>
      <c r="E11" s="509"/>
      <c r="F11" s="715"/>
      <c r="G11" s="509"/>
      <c r="H11" s="716"/>
      <c r="I11" s="509"/>
      <c r="J11" s="706"/>
      <c r="K11" s="509"/>
      <c r="L11" s="706"/>
      <c r="M11" s="706"/>
    </row>
    <row r="12" spans="1:13">
      <c r="A12" s="490"/>
      <c r="B12" s="562">
        <v>1</v>
      </c>
      <c r="C12" s="719" t="s">
        <v>664</v>
      </c>
      <c r="D12" s="9"/>
      <c r="E12" s="721">
        <v>12</v>
      </c>
      <c r="F12" s="5"/>
      <c r="G12" s="723"/>
      <c r="H12" s="5"/>
      <c r="I12" s="781">
        <f>IF(Consolidado_Geral!$G$133=7.6%,-(0.0165+0.076)*G12,0)</f>
        <v>0</v>
      </c>
      <c r="J12" s="706"/>
      <c r="K12" s="724">
        <f>IF(D$6&gt;0,((G12+I12)*E12)/$D$6,0)</f>
        <v>0</v>
      </c>
      <c r="L12" s="706"/>
      <c r="M12" s="706"/>
    </row>
    <row r="13" spans="1:13">
      <c r="A13" s="490"/>
      <c r="B13" s="562">
        <v>2</v>
      </c>
      <c r="C13" s="719" t="s">
        <v>665</v>
      </c>
      <c r="D13" s="9"/>
      <c r="E13" s="721">
        <v>4</v>
      </c>
      <c r="F13" s="5"/>
      <c r="G13" s="723"/>
      <c r="H13" s="5"/>
      <c r="I13" s="781">
        <f>IF(Consolidado_Geral!$G$133=7.6%,-(0.0165+0.076)*G13,0)</f>
        <v>0</v>
      </c>
      <c r="J13" s="706"/>
      <c r="K13" s="724">
        <f t="shared" ref="K13:K76" si="0">IF(D$6&gt;0,((G13+I13)*E13)/$D$6,0)</f>
        <v>0</v>
      </c>
      <c r="L13" s="706"/>
      <c r="M13" s="706"/>
    </row>
    <row r="14" spans="1:13">
      <c r="A14" s="490"/>
      <c r="B14" s="562">
        <v>3</v>
      </c>
      <c r="C14" s="719"/>
      <c r="D14" s="9"/>
      <c r="E14" s="721"/>
      <c r="F14" s="5"/>
      <c r="G14" s="723"/>
      <c r="H14" s="5"/>
      <c r="I14" s="781">
        <f>IF(Consolidado_Geral!$G$133=7.6%,-(0.0165+0.076)*G14,0)</f>
        <v>0</v>
      </c>
      <c r="J14" s="706"/>
      <c r="K14" s="724">
        <f t="shared" si="0"/>
        <v>0</v>
      </c>
      <c r="L14" s="706"/>
      <c r="M14" s="706"/>
    </row>
    <row r="15" spans="1:13" ht="12" hidden="1" customHeight="1">
      <c r="A15" s="490"/>
      <c r="B15" s="562">
        <v>4</v>
      </c>
      <c r="C15" s="719"/>
      <c r="D15" s="9"/>
      <c r="E15" s="721"/>
      <c r="F15" s="5"/>
      <c r="G15" s="723"/>
      <c r="H15" s="5"/>
      <c r="I15" s="781">
        <f>IF(Consolidado_Geral!$G$133=7.6%,-(0.0165+0.076)*G15,0)</f>
        <v>0</v>
      </c>
      <c r="J15" s="706"/>
      <c r="K15" s="724">
        <f t="shared" si="0"/>
        <v>0</v>
      </c>
      <c r="L15" s="706"/>
      <c r="M15" s="706"/>
    </row>
    <row r="16" spans="1:13" hidden="1">
      <c r="A16" s="490"/>
      <c r="B16" s="562">
        <v>5</v>
      </c>
      <c r="C16" s="719"/>
      <c r="D16" s="9"/>
      <c r="E16" s="721"/>
      <c r="F16" s="5"/>
      <c r="G16" s="723"/>
      <c r="H16" s="5"/>
      <c r="I16" s="781">
        <f>IF(Consolidado_Geral!$G$133=7.6%,-(0.0165+0.076)*G16,0)</f>
        <v>0</v>
      </c>
      <c r="J16" s="706"/>
      <c r="K16" s="724">
        <f t="shared" si="0"/>
        <v>0</v>
      </c>
      <c r="L16" s="706"/>
      <c r="M16" s="706"/>
    </row>
    <row r="17" spans="1:13" hidden="1">
      <c r="A17" s="490"/>
      <c r="B17" s="562">
        <v>6</v>
      </c>
      <c r="C17" s="719"/>
      <c r="D17" s="9"/>
      <c r="E17" s="721"/>
      <c r="F17" s="5"/>
      <c r="G17" s="723"/>
      <c r="H17" s="5"/>
      <c r="I17" s="781">
        <f>IF(Consolidado_Geral!$G$133=7.6%,-(0.0165+0.076)*G17,0)</f>
        <v>0</v>
      </c>
      <c r="J17" s="706"/>
      <c r="K17" s="724">
        <f t="shared" si="0"/>
        <v>0</v>
      </c>
      <c r="L17" s="706"/>
      <c r="M17" s="706"/>
    </row>
    <row r="18" spans="1:13" hidden="1">
      <c r="A18" s="490"/>
      <c r="B18" s="562">
        <v>7</v>
      </c>
      <c r="C18" s="719"/>
      <c r="D18" s="9"/>
      <c r="E18" s="721"/>
      <c r="F18" s="5"/>
      <c r="G18" s="723"/>
      <c r="H18" s="5"/>
      <c r="I18" s="781">
        <f>IF(Consolidado_Geral!$G$133=7.6%,-(0.0165+0.076)*G18,0)</f>
        <v>0</v>
      </c>
      <c r="J18" s="706"/>
      <c r="K18" s="724">
        <f t="shared" si="0"/>
        <v>0</v>
      </c>
      <c r="L18" s="706"/>
      <c r="M18" s="706"/>
    </row>
    <row r="19" spans="1:13" hidden="1">
      <c r="A19" s="490"/>
      <c r="B19" s="562">
        <v>8</v>
      </c>
      <c r="C19" s="719"/>
      <c r="D19" s="9"/>
      <c r="E19" s="721"/>
      <c r="F19" s="5"/>
      <c r="G19" s="723"/>
      <c r="H19" s="5"/>
      <c r="I19" s="781">
        <f>IF(Consolidado_Geral!$G$133=7.6%,-(0.0165+0.076)*G19,0)</f>
        <v>0</v>
      </c>
      <c r="J19" s="706"/>
      <c r="K19" s="724">
        <f t="shared" si="0"/>
        <v>0</v>
      </c>
      <c r="L19" s="706"/>
      <c r="M19" s="706"/>
    </row>
    <row r="20" spans="1:13" hidden="1">
      <c r="A20" s="490"/>
      <c r="B20" s="562">
        <v>9</v>
      </c>
      <c r="C20" s="719"/>
      <c r="D20" s="9"/>
      <c r="E20" s="721"/>
      <c r="F20" s="5"/>
      <c r="G20" s="723"/>
      <c r="H20" s="5"/>
      <c r="I20" s="781">
        <f>IF(Consolidado_Geral!$G$133=7.6%,-(0.0165+0.076)*G20,0)</f>
        <v>0</v>
      </c>
      <c r="J20" s="706"/>
      <c r="K20" s="724">
        <f t="shared" si="0"/>
        <v>0</v>
      </c>
      <c r="L20" s="706"/>
      <c r="M20" s="706"/>
    </row>
    <row r="21" spans="1:13" hidden="1">
      <c r="A21" s="490"/>
      <c r="B21" s="562">
        <v>10</v>
      </c>
      <c r="C21" s="719"/>
      <c r="D21" s="9"/>
      <c r="E21" s="721"/>
      <c r="F21" s="5"/>
      <c r="G21" s="723"/>
      <c r="H21" s="5"/>
      <c r="I21" s="781">
        <f>IF(Consolidado_Geral!$G$133=7.6%,-(0.0165+0.076)*G21,0)</f>
        <v>0</v>
      </c>
      <c r="J21" s="706"/>
      <c r="K21" s="724">
        <f t="shared" si="0"/>
        <v>0</v>
      </c>
      <c r="L21" s="706"/>
      <c r="M21" s="706"/>
    </row>
    <row r="22" spans="1:13" hidden="1">
      <c r="A22" s="490"/>
      <c r="B22" s="562">
        <v>11</v>
      </c>
      <c r="C22" s="719"/>
      <c r="D22" s="9"/>
      <c r="E22" s="721"/>
      <c r="F22" s="5"/>
      <c r="G22" s="723"/>
      <c r="H22" s="5"/>
      <c r="I22" s="781">
        <f>IF(Consolidado_Geral!$G$133=7.6%,-(0.0165+0.076)*G22,0)</f>
        <v>0</v>
      </c>
      <c r="J22" s="706"/>
      <c r="K22" s="724">
        <f t="shared" si="0"/>
        <v>0</v>
      </c>
      <c r="L22" s="706"/>
      <c r="M22" s="706"/>
    </row>
    <row r="23" spans="1:13" hidden="1">
      <c r="A23" s="490"/>
      <c r="B23" s="562">
        <v>12</v>
      </c>
      <c r="C23" s="719"/>
      <c r="D23" s="9"/>
      <c r="E23" s="721"/>
      <c r="F23" s="5"/>
      <c r="G23" s="723"/>
      <c r="H23" s="5"/>
      <c r="I23" s="781">
        <f>IF(Consolidado_Geral!$G$133=7.6%,-(0.0165+0.076)*G23,0)</f>
        <v>0</v>
      </c>
      <c r="J23" s="706"/>
      <c r="K23" s="724">
        <f t="shared" si="0"/>
        <v>0</v>
      </c>
      <c r="L23" s="706"/>
      <c r="M23" s="706"/>
    </row>
    <row r="24" spans="1:13" hidden="1">
      <c r="A24" s="490"/>
      <c r="B24" s="562">
        <v>13</v>
      </c>
      <c r="C24" s="719"/>
      <c r="D24" s="9"/>
      <c r="E24" s="721"/>
      <c r="F24" s="5"/>
      <c r="G24" s="723"/>
      <c r="H24" s="5"/>
      <c r="I24" s="781">
        <f>IF(Consolidado_Geral!$G$133=7.6%,-(0.0165+0.076)*G24,0)</f>
        <v>0</v>
      </c>
      <c r="J24" s="706"/>
      <c r="K24" s="724">
        <f t="shared" si="0"/>
        <v>0</v>
      </c>
      <c r="L24" s="706"/>
      <c r="M24" s="706"/>
    </row>
    <row r="25" spans="1:13" hidden="1">
      <c r="A25" s="490"/>
      <c r="B25" s="562">
        <v>14</v>
      </c>
      <c r="C25" s="719"/>
      <c r="D25" s="9"/>
      <c r="E25" s="721"/>
      <c r="F25" s="5"/>
      <c r="G25" s="723"/>
      <c r="H25" s="5"/>
      <c r="I25" s="781">
        <f>IF(Consolidado_Geral!$G$133=7.6%,-(0.0165+0.076)*G25,0)</f>
        <v>0</v>
      </c>
      <c r="J25" s="706"/>
      <c r="K25" s="724">
        <f t="shared" si="0"/>
        <v>0</v>
      </c>
      <c r="L25" s="706"/>
      <c r="M25" s="706"/>
    </row>
    <row r="26" spans="1:13" hidden="1">
      <c r="A26" s="490"/>
      <c r="B26" s="562">
        <v>15</v>
      </c>
      <c r="C26" s="719"/>
      <c r="D26" s="9"/>
      <c r="E26" s="721"/>
      <c r="F26" s="5"/>
      <c r="G26" s="723"/>
      <c r="H26" s="5"/>
      <c r="I26" s="781">
        <f>IF(Consolidado_Geral!$G$133=7.6%,-(0.0165+0.076)*G26,0)</f>
        <v>0</v>
      </c>
      <c r="J26" s="706"/>
      <c r="K26" s="724">
        <f t="shared" si="0"/>
        <v>0</v>
      </c>
      <c r="L26" s="706"/>
      <c r="M26" s="706"/>
    </row>
    <row r="27" spans="1:13" hidden="1">
      <c r="A27" s="490"/>
      <c r="B27" s="562">
        <v>16</v>
      </c>
      <c r="C27" s="719"/>
      <c r="D27" s="9"/>
      <c r="E27" s="721"/>
      <c r="F27" s="5"/>
      <c r="G27" s="723"/>
      <c r="H27" s="5"/>
      <c r="I27" s="781">
        <f>IF(Consolidado_Geral!$G$133=7.6%,-(0.0165+0.076)*G27,0)</f>
        <v>0</v>
      </c>
      <c r="J27" s="706"/>
      <c r="K27" s="724">
        <f t="shared" si="0"/>
        <v>0</v>
      </c>
      <c r="L27" s="706"/>
      <c r="M27" s="706"/>
    </row>
    <row r="28" spans="1:13" hidden="1">
      <c r="A28" s="490"/>
      <c r="B28" s="562">
        <v>17</v>
      </c>
      <c r="C28" s="719"/>
      <c r="D28" s="9"/>
      <c r="E28" s="721"/>
      <c r="F28" s="5"/>
      <c r="G28" s="723"/>
      <c r="H28" s="5"/>
      <c r="I28" s="781">
        <f>IF(Consolidado_Geral!$G$133=7.6%,-(0.0165+0.076)*G28,0)</f>
        <v>0</v>
      </c>
      <c r="J28" s="706"/>
      <c r="K28" s="724">
        <f t="shared" si="0"/>
        <v>0</v>
      </c>
      <c r="L28" s="706"/>
      <c r="M28" s="706"/>
    </row>
    <row r="29" spans="1:13" hidden="1">
      <c r="A29" s="490"/>
      <c r="B29" s="562">
        <v>18</v>
      </c>
      <c r="C29" s="719"/>
      <c r="D29" s="9"/>
      <c r="E29" s="721"/>
      <c r="F29" s="5"/>
      <c r="G29" s="723"/>
      <c r="H29" s="5"/>
      <c r="I29" s="781">
        <f>IF(Consolidado_Geral!$G$133=7.6%,-(0.0165+0.076)*G29,0)</f>
        <v>0</v>
      </c>
      <c r="J29" s="706"/>
      <c r="K29" s="724">
        <f t="shared" si="0"/>
        <v>0</v>
      </c>
      <c r="L29" s="706"/>
      <c r="M29" s="706"/>
    </row>
    <row r="30" spans="1:13" hidden="1">
      <c r="A30" s="490"/>
      <c r="B30" s="562">
        <v>19</v>
      </c>
      <c r="C30" s="719"/>
      <c r="D30" s="9"/>
      <c r="E30" s="721"/>
      <c r="F30" s="5"/>
      <c r="G30" s="723"/>
      <c r="H30" s="5"/>
      <c r="I30" s="781">
        <f>IF(Consolidado_Geral!$G$133=7.6%,-(0.0165+0.076)*G30,0)</f>
        <v>0</v>
      </c>
      <c r="J30" s="706"/>
      <c r="K30" s="724">
        <f t="shared" si="0"/>
        <v>0</v>
      </c>
      <c r="L30" s="706"/>
      <c r="M30" s="706"/>
    </row>
    <row r="31" spans="1:13" hidden="1">
      <c r="A31" s="490"/>
      <c r="B31" s="562">
        <v>20</v>
      </c>
      <c r="C31" s="719"/>
      <c r="D31" s="9"/>
      <c r="E31" s="721"/>
      <c r="F31" s="5"/>
      <c r="G31" s="723"/>
      <c r="H31" s="5"/>
      <c r="I31" s="781">
        <f>IF(Consolidado_Geral!$G$133=7.6%,-(0.0165+0.076)*G31,0)</f>
        <v>0</v>
      </c>
      <c r="J31" s="706"/>
      <c r="K31" s="724">
        <f t="shared" si="0"/>
        <v>0</v>
      </c>
      <c r="L31" s="706"/>
      <c r="M31" s="706"/>
    </row>
    <row r="32" spans="1:13" hidden="1">
      <c r="A32" s="490"/>
      <c r="B32" s="562">
        <v>21</v>
      </c>
      <c r="C32" s="719"/>
      <c r="D32" s="9"/>
      <c r="E32" s="721"/>
      <c r="F32" s="5"/>
      <c r="G32" s="723"/>
      <c r="H32" s="5"/>
      <c r="I32" s="781">
        <f>IF(Consolidado_Geral!$G$133=7.6%,-(0.0165+0.076)*G32,0)</f>
        <v>0</v>
      </c>
      <c r="J32" s="706"/>
      <c r="K32" s="724">
        <f t="shared" si="0"/>
        <v>0</v>
      </c>
      <c r="L32" s="706"/>
      <c r="M32" s="706"/>
    </row>
    <row r="33" spans="1:13" hidden="1">
      <c r="A33" s="490"/>
      <c r="B33" s="562">
        <v>22</v>
      </c>
      <c r="C33" s="719"/>
      <c r="D33" s="9"/>
      <c r="E33" s="721"/>
      <c r="F33" s="5"/>
      <c r="G33" s="723"/>
      <c r="H33" s="5"/>
      <c r="I33" s="781">
        <f>IF(Consolidado_Geral!$G$133=7.6%,-(0.0165+0.076)*G33,0)</f>
        <v>0</v>
      </c>
      <c r="J33" s="706"/>
      <c r="K33" s="724">
        <f t="shared" si="0"/>
        <v>0</v>
      </c>
      <c r="L33" s="706"/>
      <c r="M33" s="706"/>
    </row>
    <row r="34" spans="1:13" hidden="1">
      <c r="A34" s="490"/>
      <c r="B34" s="562">
        <v>23</v>
      </c>
      <c r="C34" s="719"/>
      <c r="D34" s="9"/>
      <c r="E34" s="721"/>
      <c r="F34" s="5"/>
      <c r="G34" s="723"/>
      <c r="H34" s="5"/>
      <c r="I34" s="781">
        <f>IF(Consolidado_Geral!$G$133=7.6%,-(0.0165+0.076)*G34,0)</f>
        <v>0</v>
      </c>
      <c r="J34" s="706"/>
      <c r="K34" s="724">
        <f t="shared" si="0"/>
        <v>0</v>
      </c>
      <c r="L34" s="706"/>
      <c r="M34" s="706"/>
    </row>
    <row r="35" spans="1:13" hidden="1">
      <c r="A35" s="490"/>
      <c r="B35" s="562">
        <v>24</v>
      </c>
      <c r="C35" s="719"/>
      <c r="D35" s="9"/>
      <c r="E35" s="721"/>
      <c r="F35" s="5"/>
      <c r="G35" s="723"/>
      <c r="H35" s="5"/>
      <c r="I35" s="781">
        <f>IF(Consolidado_Geral!$G$133=7.6%,-(0.0165+0.076)*G35,0)</f>
        <v>0</v>
      </c>
      <c r="J35" s="706"/>
      <c r="K35" s="724">
        <f t="shared" si="0"/>
        <v>0</v>
      </c>
      <c r="L35" s="706"/>
      <c r="M35" s="706"/>
    </row>
    <row r="36" spans="1:13" hidden="1">
      <c r="A36" s="490"/>
      <c r="B36" s="562">
        <v>25</v>
      </c>
      <c r="C36" s="719"/>
      <c r="D36" s="9"/>
      <c r="E36" s="721"/>
      <c r="F36" s="5"/>
      <c r="G36" s="723"/>
      <c r="H36" s="5"/>
      <c r="I36" s="781">
        <f>IF(Consolidado_Geral!$G$133=7.6%,-(0.0165+0.076)*G36,0)</f>
        <v>0</v>
      </c>
      <c r="J36" s="706"/>
      <c r="K36" s="724">
        <f t="shared" si="0"/>
        <v>0</v>
      </c>
      <c r="L36" s="706"/>
      <c r="M36" s="706"/>
    </row>
    <row r="37" spans="1:13" hidden="1">
      <c r="A37" s="490"/>
      <c r="B37" s="562">
        <v>26</v>
      </c>
      <c r="C37" s="719"/>
      <c r="D37" s="9"/>
      <c r="E37" s="721"/>
      <c r="F37" s="5"/>
      <c r="G37" s="723"/>
      <c r="H37" s="5"/>
      <c r="I37" s="781">
        <f>IF(Consolidado_Geral!$G$133=7.6%,-(0.0165+0.076)*G37,0)</f>
        <v>0</v>
      </c>
      <c r="J37" s="706"/>
      <c r="K37" s="724">
        <f t="shared" si="0"/>
        <v>0</v>
      </c>
      <c r="L37" s="706"/>
      <c r="M37" s="706"/>
    </row>
    <row r="38" spans="1:13" hidden="1">
      <c r="A38" s="490"/>
      <c r="B38" s="562">
        <v>27</v>
      </c>
      <c r="C38" s="719"/>
      <c r="D38" s="9"/>
      <c r="E38" s="721"/>
      <c r="F38" s="5"/>
      <c r="G38" s="723"/>
      <c r="H38" s="5"/>
      <c r="I38" s="781">
        <f>IF(Consolidado_Geral!$G$133=7.6%,-(0.0165+0.076)*G38,0)</f>
        <v>0</v>
      </c>
      <c r="J38" s="706"/>
      <c r="K38" s="724">
        <f t="shared" si="0"/>
        <v>0</v>
      </c>
      <c r="L38" s="706"/>
      <c r="M38" s="706"/>
    </row>
    <row r="39" spans="1:13" hidden="1">
      <c r="A39" s="490"/>
      <c r="B39" s="562">
        <v>28</v>
      </c>
      <c r="C39" s="719"/>
      <c r="D39" s="9"/>
      <c r="E39" s="721"/>
      <c r="F39" s="5"/>
      <c r="G39" s="723"/>
      <c r="H39" s="5"/>
      <c r="I39" s="781">
        <f>IF(Consolidado_Geral!$G$133=7.6%,-(0.0165+0.076)*G39,0)</f>
        <v>0</v>
      </c>
      <c r="J39" s="706"/>
      <c r="K39" s="724">
        <f t="shared" si="0"/>
        <v>0</v>
      </c>
      <c r="L39" s="706"/>
      <c r="M39" s="706"/>
    </row>
    <row r="40" spans="1:13" hidden="1">
      <c r="A40" s="490"/>
      <c r="B40" s="562">
        <v>29</v>
      </c>
      <c r="C40" s="719"/>
      <c r="D40" s="9"/>
      <c r="E40" s="721"/>
      <c r="F40" s="5"/>
      <c r="G40" s="723"/>
      <c r="H40" s="5"/>
      <c r="I40" s="781">
        <f>IF(Consolidado_Geral!$G$133=7.6%,-(0.0165+0.076)*G40,0)</f>
        <v>0</v>
      </c>
      <c r="J40" s="706"/>
      <c r="K40" s="724">
        <f t="shared" si="0"/>
        <v>0</v>
      </c>
      <c r="L40" s="706"/>
      <c r="M40" s="706"/>
    </row>
    <row r="41" spans="1:13" hidden="1">
      <c r="A41" s="490"/>
      <c r="B41" s="562">
        <v>30</v>
      </c>
      <c r="C41" s="719"/>
      <c r="D41" s="9"/>
      <c r="E41" s="721"/>
      <c r="F41" s="5"/>
      <c r="G41" s="723"/>
      <c r="H41" s="5"/>
      <c r="I41" s="781">
        <f>IF(Consolidado_Geral!$G$133=7.6%,-(0.0165+0.076)*G41,0)</f>
        <v>0</v>
      </c>
      <c r="J41" s="706"/>
      <c r="K41" s="724">
        <f t="shared" si="0"/>
        <v>0</v>
      </c>
      <c r="L41" s="706"/>
      <c r="M41" s="706"/>
    </row>
    <row r="42" spans="1:13" hidden="1">
      <c r="A42" s="490"/>
      <c r="B42" s="562">
        <v>31</v>
      </c>
      <c r="C42" s="719"/>
      <c r="D42" s="9"/>
      <c r="E42" s="721"/>
      <c r="F42" s="5"/>
      <c r="G42" s="723"/>
      <c r="H42" s="5"/>
      <c r="I42" s="781">
        <f>IF(Consolidado_Geral!$G$133=7.6%,-(0.0165+0.076)*G42,0)</f>
        <v>0</v>
      </c>
      <c r="J42" s="706"/>
      <c r="K42" s="724">
        <f t="shared" si="0"/>
        <v>0</v>
      </c>
      <c r="L42" s="706"/>
      <c r="M42" s="706"/>
    </row>
    <row r="43" spans="1:13" hidden="1">
      <c r="A43" s="490"/>
      <c r="B43" s="562">
        <v>32</v>
      </c>
      <c r="C43" s="719"/>
      <c r="D43" s="9"/>
      <c r="E43" s="721"/>
      <c r="F43" s="5"/>
      <c r="G43" s="723"/>
      <c r="H43" s="5"/>
      <c r="I43" s="781">
        <f>IF(Consolidado_Geral!$G$133=7.6%,-(0.0165+0.076)*G43,0)</f>
        <v>0</v>
      </c>
      <c r="J43" s="706"/>
      <c r="K43" s="724">
        <f t="shared" si="0"/>
        <v>0</v>
      </c>
      <c r="L43" s="706"/>
      <c r="M43" s="706"/>
    </row>
    <row r="44" spans="1:13" hidden="1">
      <c r="A44" s="490"/>
      <c r="B44" s="562">
        <v>33</v>
      </c>
      <c r="C44" s="719"/>
      <c r="D44" s="9"/>
      <c r="E44" s="721"/>
      <c r="F44" s="5"/>
      <c r="G44" s="723"/>
      <c r="H44" s="5"/>
      <c r="I44" s="781">
        <f>IF(Consolidado_Geral!$G$133=7.6%,-(0.0165+0.076)*G44,0)</f>
        <v>0</v>
      </c>
      <c r="J44" s="706"/>
      <c r="K44" s="724">
        <f t="shared" si="0"/>
        <v>0</v>
      </c>
      <c r="L44" s="706"/>
      <c r="M44" s="706"/>
    </row>
    <row r="45" spans="1:13" hidden="1">
      <c r="A45" s="490"/>
      <c r="B45" s="562">
        <v>34</v>
      </c>
      <c r="C45" s="719"/>
      <c r="D45" s="9"/>
      <c r="E45" s="721"/>
      <c r="F45" s="5"/>
      <c r="G45" s="723"/>
      <c r="H45" s="5"/>
      <c r="I45" s="781">
        <f>IF(Consolidado_Geral!$G$133=7.6%,-(0.0165+0.076)*G45,0)</f>
        <v>0</v>
      </c>
      <c r="J45" s="706"/>
      <c r="K45" s="724">
        <f t="shared" si="0"/>
        <v>0</v>
      </c>
      <c r="L45" s="706"/>
      <c r="M45" s="706"/>
    </row>
    <row r="46" spans="1:13" hidden="1">
      <c r="A46" s="490"/>
      <c r="B46" s="562">
        <v>35</v>
      </c>
      <c r="C46" s="719"/>
      <c r="D46" s="9"/>
      <c r="E46" s="721"/>
      <c r="F46" s="5"/>
      <c r="G46" s="723"/>
      <c r="H46" s="5"/>
      <c r="I46" s="781">
        <f>IF(Consolidado_Geral!$G$133=7.6%,-(0.0165+0.076)*G46,0)</f>
        <v>0</v>
      </c>
      <c r="J46" s="706"/>
      <c r="K46" s="724">
        <f t="shared" si="0"/>
        <v>0</v>
      </c>
      <c r="L46" s="706"/>
      <c r="M46" s="706"/>
    </row>
    <row r="47" spans="1:13" hidden="1">
      <c r="A47" s="490"/>
      <c r="B47" s="562">
        <v>36</v>
      </c>
      <c r="C47" s="719"/>
      <c r="D47" s="9"/>
      <c r="E47" s="721"/>
      <c r="F47" s="5"/>
      <c r="G47" s="723"/>
      <c r="H47" s="5"/>
      <c r="I47" s="781">
        <f>IF(Consolidado_Geral!$G$133=7.6%,-(0.0165+0.076)*G47,0)</f>
        <v>0</v>
      </c>
      <c r="J47" s="706"/>
      <c r="K47" s="724">
        <f t="shared" si="0"/>
        <v>0</v>
      </c>
      <c r="L47" s="706"/>
      <c r="M47" s="706"/>
    </row>
    <row r="48" spans="1:13" hidden="1">
      <c r="A48" s="490"/>
      <c r="B48" s="562">
        <v>37</v>
      </c>
      <c r="C48" s="719"/>
      <c r="D48" s="9"/>
      <c r="E48" s="721"/>
      <c r="F48" s="5"/>
      <c r="G48" s="723"/>
      <c r="H48" s="5"/>
      <c r="I48" s="781">
        <f>IF(Consolidado_Geral!$G$133=7.6%,-(0.0165+0.076)*G48,0)</f>
        <v>0</v>
      </c>
      <c r="J48" s="706"/>
      <c r="K48" s="724">
        <f t="shared" si="0"/>
        <v>0</v>
      </c>
      <c r="L48" s="706"/>
      <c r="M48" s="706"/>
    </row>
    <row r="49" spans="1:13" hidden="1">
      <c r="A49" s="490"/>
      <c r="B49" s="562">
        <v>38</v>
      </c>
      <c r="C49" s="719"/>
      <c r="D49" s="9"/>
      <c r="E49" s="721"/>
      <c r="F49" s="5"/>
      <c r="G49" s="723"/>
      <c r="H49" s="5"/>
      <c r="I49" s="781">
        <f>IF(Consolidado_Geral!$G$133=7.6%,-(0.0165+0.076)*G49,0)</f>
        <v>0</v>
      </c>
      <c r="J49" s="706"/>
      <c r="K49" s="724">
        <f t="shared" si="0"/>
        <v>0</v>
      </c>
      <c r="L49" s="706"/>
      <c r="M49" s="706"/>
    </row>
    <row r="50" spans="1:13" hidden="1">
      <c r="A50" s="490"/>
      <c r="B50" s="562">
        <v>39</v>
      </c>
      <c r="C50" s="719"/>
      <c r="D50" s="9"/>
      <c r="E50" s="721"/>
      <c r="F50" s="5"/>
      <c r="G50" s="723"/>
      <c r="H50" s="5"/>
      <c r="I50" s="781">
        <f>IF(Consolidado_Geral!$G$133=7.6%,-(0.0165+0.076)*G50,0)</f>
        <v>0</v>
      </c>
      <c r="J50" s="706"/>
      <c r="K50" s="724">
        <f t="shared" si="0"/>
        <v>0</v>
      </c>
      <c r="L50" s="706"/>
      <c r="M50" s="706"/>
    </row>
    <row r="51" spans="1:13" hidden="1">
      <c r="A51" s="490"/>
      <c r="B51" s="562">
        <v>40</v>
      </c>
      <c r="C51" s="719"/>
      <c r="D51" s="9"/>
      <c r="E51" s="721"/>
      <c r="F51" s="5"/>
      <c r="G51" s="723"/>
      <c r="H51" s="5"/>
      <c r="I51" s="781">
        <f>IF(Consolidado_Geral!$G$133=7.6%,-(0.0165+0.076)*G51,0)</f>
        <v>0</v>
      </c>
      <c r="J51" s="706"/>
      <c r="K51" s="724">
        <f t="shared" si="0"/>
        <v>0</v>
      </c>
      <c r="L51" s="706"/>
      <c r="M51" s="706"/>
    </row>
    <row r="52" spans="1:13" hidden="1">
      <c r="A52" s="490"/>
      <c r="B52" s="562">
        <v>41</v>
      </c>
      <c r="C52" s="719"/>
      <c r="D52" s="9"/>
      <c r="E52" s="721"/>
      <c r="F52" s="5"/>
      <c r="G52" s="723"/>
      <c r="H52" s="5"/>
      <c r="I52" s="781">
        <f>IF(Consolidado_Geral!$G$133=7.6%,-(0.0165+0.076)*G52,0)</f>
        <v>0</v>
      </c>
      <c r="J52" s="706"/>
      <c r="K52" s="724">
        <f t="shared" si="0"/>
        <v>0</v>
      </c>
      <c r="L52" s="706"/>
      <c r="M52" s="706"/>
    </row>
    <row r="53" spans="1:13" hidden="1">
      <c r="A53" s="490"/>
      <c r="B53" s="562">
        <v>42</v>
      </c>
      <c r="C53" s="719"/>
      <c r="D53" s="9"/>
      <c r="E53" s="721"/>
      <c r="F53" s="5"/>
      <c r="G53" s="723"/>
      <c r="H53" s="5"/>
      <c r="I53" s="781">
        <f>IF(Consolidado_Geral!$G$133=7.6%,-(0.0165+0.076)*G53,0)</f>
        <v>0</v>
      </c>
      <c r="J53" s="706"/>
      <c r="K53" s="724">
        <f t="shared" si="0"/>
        <v>0</v>
      </c>
      <c r="L53" s="706"/>
      <c r="M53" s="706"/>
    </row>
    <row r="54" spans="1:13" hidden="1">
      <c r="A54" s="490"/>
      <c r="B54" s="562">
        <v>43</v>
      </c>
      <c r="C54" s="719"/>
      <c r="D54" s="9"/>
      <c r="E54" s="721"/>
      <c r="F54" s="5"/>
      <c r="G54" s="723"/>
      <c r="H54" s="5"/>
      <c r="I54" s="781">
        <f>IF(Consolidado_Geral!$G$133=7.6%,-(0.0165+0.076)*G54,0)</f>
        <v>0</v>
      </c>
      <c r="J54" s="706"/>
      <c r="K54" s="724">
        <f t="shared" si="0"/>
        <v>0</v>
      </c>
      <c r="L54" s="706"/>
      <c r="M54" s="706"/>
    </row>
    <row r="55" spans="1:13" hidden="1">
      <c r="A55" s="490"/>
      <c r="B55" s="562">
        <v>44</v>
      </c>
      <c r="C55" s="719"/>
      <c r="D55" s="9"/>
      <c r="E55" s="721"/>
      <c r="F55" s="5"/>
      <c r="G55" s="723"/>
      <c r="H55" s="5"/>
      <c r="I55" s="781">
        <f>IF(Consolidado_Geral!$G$133=7.6%,-(0.0165+0.076)*G55,0)</f>
        <v>0</v>
      </c>
      <c r="J55" s="706"/>
      <c r="K55" s="724">
        <f t="shared" si="0"/>
        <v>0</v>
      </c>
      <c r="L55" s="706"/>
      <c r="M55" s="706"/>
    </row>
    <row r="56" spans="1:13" hidden="1">
      <c r="A56" s="490"/>
      <c r="B56" s="562">
        <v>45</v>
      </c>
      <c r="C56" s="719"/>
      <c r="D56" s="9"/>
      <c r="E56" s="721"/>
      <c r="F56" s="5"/>
      <c r="G56" s="723"/>
      <c r="H56" s="5"/>
      <c r="I56" s="781">
        <f>IF(Consolidado_Geral!$G$133=7.6%,-(0.0165+0.076)*G56,0)</f>
        <v>0</v>
      </c>
      <c r="J56" s="706"/>
      <c r="K56" s="724">
        <f t="shared" si="0"/>
        <v>0</v>
      </c>
      <c r="L56" s="706"/>
      <c r="M56" s="706"/>
    </row>
    <row r="57" spans="1:13" hidden="1">
      <c r="A57" s="490"/>
      <c r="B57" s="562">
        <v>46</v>
      </c>
      <c r="C57" s="719"/>
      <c r="D57" s="9"/>
      <c r="E57" s="721"/>
      <c r="F57" s="5"/>
      <c r="G57" s="723"/>
      <c r="H57" s="5"/>
      <c r="I57" s="781">
        <f>IF(Consolidado_Geral!$G$133=7.6%,-(0.0165+0.076)*G57,0)</f>
        <v>0</v>
      </c>
      <c r="J57" s="706"/>
      <c r="K57" s="724">
        <f t="shared" si="0"/>
        <v>0</v>
      </c>
      <c r="L57" s="706"/>
      <c r="M57" s="706"/>
    </row>
    <row r="58" spans="1:13" hidden="1">
      <c r="A58" s="490"/>
      <c r="B58" s="562">
        <v>47</v>
      </c>
      <c r="C58" s="719"/>
      <c r="D58" s="9"/>
      <c r="E58" s="721"/>
      <c r="F58" s="5"/>
      <c r="G58" s="723"/>
      <c r="H58" s="5"/>
      <c r="I58" s="781">
        <f>IF(Consolidado_Geral!$G$133=7.6%,-(0.0165+0.076)*G58,0)</f>
        <v>0</v>
      </c>
      <c r="J58" s="706"/>
      <c r="K58" s="724">
        <f t="shared" si="0"/>
        <v>0</v>
      </c>
      <c r="L58" s="706"/>
      <c r="M58" s="706"/>
    </row>
    <row r="59" spans="1:13" hidden="1">
      <c r="A59" s="490"/>
      <c r="B59" s="562">
        <v>48</v>
      </c>
      <c r="C59" s="719"/>
      <c r="D59" s="9"/>
      <c r="E59" s="721"/>
      <c r="F59" s="5"/>
      <c r="G59" s="723"/>
      <c r="H59" s="5"/>
      <c r="I59" s="781">
        <f>IF(Consolidado_Geral!$G$133=7.6%,-(0.0165+0.076)*G59,0)</f>
        <v>0</v>
      </c>
      <c r="J59" s="706"/>
      <c r="K59" s="724">
        <f t="shared" si="0"/>
        <v>0</v>
      </c>
      <c r="L59" s="706"/>
      <c r="M59" s="706"/>
    </row>
    <row r="60" spans="1:13" hidden="1">
      <c r="A60" s="490"/>
      <c r="B60" s="562">
        <v>49</v>
      </c>
      <c r="C60" s="719"/>
      <c r="D60" s="9"/>
      <c r="E60" s="721"/>
      <c r="F60" s="5"/>
      <c r="G60" s="723"/>
      <c r="H60" s="5"/>
      <c r="I60" s="781">
        <f>IF(Consolidado_Geral!$G$133=7.6%,-(0.0165+0.076)*G60,0)</f>
        <v>0</v>
      </c>
      <c r="J60" s="706"/>
      <c r="K60" s="724">
        <f t="shared" si="0"/>
        <v>0</v>
      </c>
      <c r="L60" s="706"/>
      <c r="M60" s="706"/>
    </row>
    <row r="61" spans="1:13" hidden="1">
      <c r="A61" s="490"/>
      <c r="B61" s="562">
        <v>50</v>
      </c>
      <c r="C61" s="719"/>
      <c r="D61" s="9"/>
      <c r="E61" s="721"/>
      <c r="F61" s="5"/>
      <c r="G61" s="723"/>
      <c r="H61" s="5"/>
      <c r="I61" s="781">
        <f>IF(Consolidado_Geral!$G$133=7.6%,-(0.0165+0.076)*G61,0)</f>
        <v>0</v>
      </c>
      <c r="J61" s="706"/>
      <c r="K61" s="724">
        <f t="shared" si="0"/>
        <v>0</v>
      </c>
      <c r="L61" s="706"/>
      <c r="M61" s="706"/>
    </row>
    <row r="62" spans="1:13" hidden="1">
      <c r="A62" s="490"/>
      <c r="B62" s="562">
        <v>51</v>
      </c>
      <c r="C62" s="719"/>
      <c r="D62" s="9"/>
      <c r="E62" s="721"/>
      <c r="F62" s="5"/>
      <c r="G62" s="723"/>
      <c r="H62" s="5"/>
      <c r="I62" s="781">
        <f>IF(Consolidado_Geral!$G$133=7.6%,-(0.0165+0.076)*G62,0)</f>
        <v>0</v>
      </c>
      <c r="J62" s="706"/>
      <c r="K62" s="724">
        <f t="shared" si="0"/>
        <v>0</v>
      </c>
      <c r="L62" s="706"/>
      <c r="M62" s="706"/>
    </row>
    <row r="63" spans="1:13" hidden="1">
      <c r="A63" s="490"/>
      <c r="B63" s="562">
        <v>52</v>
      </c>
      <c r="C63" s="719"/>
      <c r="D63" s="9"/>
      <c r="E63" s="721"/>
      <c r="F63" s="5"/>
      <c r="G63" s="723"/>
      <c r="H63" s="5"/>
      <c r="I63" s="781">
        <f>IF(Consolidado_Geral!$G$133=7.6%,-(0.0165+0.076)*G63,0)</f>
        <v>0</v>
      </c>
      <c r="J63" s="706"/>
      <c r="K63" s="724">
        <f t="shared" si="0"/>
        <v>0</v>
      </c>
      <c r="L63" s="706"/>
      <c r="M63" s="706"/>
    </row>
    <row r="64" spans="1:13" hidden="1">
      <c r="A64" s="490"/>
      <c r="B64" s="562">
        <v>53</v>
      </c>
      <c r="C64" s="719"/>
      <c r="D64" s="9"/>
      <c r="E64" s="721"/>
      <c r="F64" s="5"/>
      <c r="G64" s="723"/>
      <c r="H64" s="5"/>
      <c r="I64" s="781">
        <f>IF(Consolidado_Geral!$G$133=7.6%,-(0.0165+0.076)*G64,0)</f>
        <v>0</v>
      </c>
      <c r="J64" s="706"/>
      <c r="K64" s="724">
        <f t="shared" si="0"/>
        <v>0</v>
      </c>
      <c r="L64" s="706"/>
      <c r="M64" s="706"/>
    </row>
    <row r="65" spans="1:13" hidden="1">
      <c r="A65" s="490"/>
      <c r="B65" s="562">
        <v>54</v>
      </c>
      <c r="C65" s="719"/>
      <c r="D65" s="9"/>
      <c r="E65" s="721"/>
      <c r="F65" s="5"/>
      <c r="G65" s="723"/>
      <c r="H65" s="5"/>
      <c r="I65" s="781">
        <f>IF(Consolidado_Geral!$G$133=7.6%,-(0.0165+0.076)*G65,0)</f>
        <v>0</v>
      </c>
      <c r="J65" s="706"/>
      <c r="K65" s="724">
        <f t="shared" si="0"/>
        <v>0</v>
      </c>
      <c r="L65" s="706"/>
      <c r="M65" s="706"/>
    </row>
    <row r="66" spans="1:13" hidden="1">
      <c r="A66" s="490"/>
      <c r="B66" s="562">
        <v>55</v>
      </c>
      <c r="C66" s="719"/>
      <c r="D66" s="9"/>
      <c r="E66" s="721"/>
      <c r="F66" s="5"/>
      <c r="G66" s="723"/>
      <c r="H66" s="5"/>
      <c r="I66" s="781">
        <f>IF(Consolidado_Geral!$G$133=7.6%,-(0.0165+0.076)*G66,0)</f>
        <v>0</v>
      </c>
      <c r="J66" s="706"/>
      <c r="K66" s="724">
        <f t="shared" si="0"/>
        <v>0</v>
      </c>
      <c r="L66" s="706"/>
      <c r="M66" s="706"/>
    </row>
    <row r="67" spans="1:13" hidden="1">
      <c r="A67" s="490"/>
      <c r="B67" s="562">
        <v>56</v>
      </c>
      <c r="C67" s="719"/>
      <c r="D67" s="9"/>
      <c r="E67" s="721"/>
      <c r="F67" s="5"/>
      <c r="G67" s="723"/>
      <c r="H67" s="5"/>
      <c r="I67" s="781">
        <f>IF(Consolidado_Geral!$G$133=7.6%,-(0.0165+0.076)*G67,0)</f>
        <v>0</v>
      </c>
      <c r="J67" s="706"/>
      <c r="K67" s="724">
        <f t="shared" si="0"/>
        <v>0</v>
      </c>
      <c r="L67" s="706"/>
      <c r="M67" s="706"/>
    </row>
    <row r="68" spans="1:13" hidden="1">
      <c r="A68" s="490"/>
      <c r="B68" s="562">
        <v>57</v>
      </c>
      <c r="C68" s="719"/>
      <c r="D68" s="9"/>
      <c r="E68" s="721"/>
      <c r="F68" s="5"/>
      <c r="G68" s="723"/>
      <c r="H68" s="5"/>
      <c r="I68" s="781">
        <f>IF(Consolidado_Geral!$G$133=7.6%,-(0.0165+0.076)*G68,0)</f>
        <v>0</v>
      </c>
      <c r="J68" s="706"/>
      <c r="K68" s="724">
        <f t="shared" si="0"/>
        <v>0</v>
      </c>
      <c r="L68" s="706"/>
      <c r="M68" s="706"/>
    </row>
    <row r="69" spans="1:13" hidden="1">
      <c r="A69" s="490"/>
      <c r="B69" s="562">
        <v>58</v>
      </c>
      <c r="C69" s="719"/>
      <c r="D69" s="9"/>
      <c r="E69" s="721"/>
      <c r="F69" s="5"/>
      <c r="G69" s="723"/>
      <c r="H69" s="5"/>
      <c r="I69" s="781">
        <f>IF(Consolidado_Geral!$G$133=7.6%,-(0.0165+0.076)*G69,0)</f>
        <v>0</v>
      </c>
      <c r="J69" s="706"/>
      <c r="K69" s="724">
        <f t="shared" si="0"/>
        <v>0</v>
      </c>
      <c r="L69" s="706"/>
      <c r="M69" s="706"/>
    </row>
    <row r="70" spans="1:13" hidden="1">
      <c r="A70" s="490"/>
      <c r="B70" s="562">
        <v>59</v>
      </c>
      <c r="C70" s="719"/>
      <c r="D70" s="9"/>
      <c r="E70" s="721"/>
      <c r="F70" s="5"/>
      <c r="G70" s="723"/>
      <c r="H70" s="5"/>
      <c r="I70" s="781">
        <f>IF(Consolidado_Geral!$G$133=7.6%,-(0.0165+0.076)*G70,0)</f>
        <v>0</v>
      </c>
      <c r="J70" s="706"/>
      <c r="K70" s="724">
        <f t="shared" si="0"/>
        <v>0</v>
      </c>
      <c r="L70" s="706"/>
      <c r="M70" s="706"/>
    </row>
    <row r="71" spans="1:13" hidden="1">
      <c r="A71" s="490"/>
      <c r="B71" s="562">
        <v>60</v>
      </c>
      <c r="C71" s="719"/>
      <c r="D71" s="9"/>
      <c r="E71" s="721"/>
      <c r="F71" s="5"/>
      <c r="G71" s="723"/>
      <c r="H71" s="5"/>
      <c r="I71" s="781">
        <f>IF(Consolidado_Geral!$G$133=7.6%,-(0.0165+0.076)*G71,0)</f>
        <v>0</v>
      </c>
      <c r="J71" s="706"/>
      <c r="K71" s="724">
        <f t="shared" si="0"/>
        <v>0</v>
      </c>
      <c r="L71" s="706"/>
      <c r="M71" s="706"/>
    </row>
    <row r="72" spans="1:13" hidden="1">
      <c r="A72" s="490"/>
      <c r="B72" s="562">
        <v>61</v>
      </c>
      <c r="C72" s="719"/>
      <c r="D72" s="9"/>
      <c r="E72" s="721"/>
      <c r="F72" s="5"/>
      <c r="G72" s="723"/>
      <c r="H72" s="5"/>
      <c r="I72" s="781">
        <f>IF(Consolidado_Geral!$G$133=7.6%,-(0.0165+0.076)*G72,0)</f>
        <v>0</v>
      </c>
      <c r="J72" s="706"/>
      <c r="K72" s="724">
        <f t="shared" si="0"/>
        <v>0</v>
      </c>
      <c r="L72" s="706"/>
      <c r="M72" s="706"/>
    </row>
    <row r="73" spans="1:13" hidden="1">
      <c r="A73" s="490"/>
      <c r="B73" s="562">
        <v>62</v>
      </c>
      <c r="C73" s="719"/>
      <c r="D73" s="9"/>
      <c r="E73" s="721"/>
      <c r="F73" s="5"/>
      <c r="G73" s="723"/>
      <c r="H73" s="5"/>
      <c r="I73" s="781">
        <f>IF(Consolidado_Geral!$G$133=7.6%,-(0.0165+0.076)*G73,0)</f>
        <v>0</v>
      </c>
      <c r="J73" s="706"/>
      <c r="K73" s="724">
        <f t="shared" si="0"/>
        <v>0</v>
      </c>
      <c r="L73" s="706"/>
      <c r="M73" s="706"/>
    </row>
    <row r="74" spans="1:13" hidden="1">
      <c r="A74" s="490"/>
      <c r="B74" s="562">
        <v>63</v>
      </c>
      <c r="C74" s="719"/>
      <c r="D74" s="9"/>
      <c r="E74" s="721"/>
      <c r="F74" s="5"/>
      <c r="G74" s="723"/>
      <c r="H74" s="5"/>
      <c r="I74" s="781">
        <f>IF(Consolidado_Geral!$G$133=7.6%,-(0.0165+0.076)*G74,0)</f>
        <v>0</v>
      </c>
      <c r="J74" s="706"/>
      <c r="K74" s="724">
        <f t="shared" si="0"/>
        <v>0</v>
      </c>
      <c r="L74" s="706"/>
      <c r="M74" s="706"/>
    </row>
    <row r="75" spans="1:13" hidden="1">
      <c r="A75" s="490"/>
      <c r="B75" s="562">
        <v>64</v>
      </c>
      <c r="C75" s="719"/>
      <c r="D75" s="9"/>
      <c r="E75" s="721"/>
      <c r="F75" s="5"/>
      <c r="G75" s="723"/>
      <c r="H75" s="5"/>
      <c r="I75" s="781">
        <f>IF(Consolidado_Geral!$G$133=7.6%,-(0.0165+0.076)*G75,0)</f>
        <v>0</v>
      </c>
      <c r="J75" s="706"/>
      <c r="K75" s="724">
        <f t="shared" si="0"/>
        <v>0</v>
      </c>
      <c r="L75" s="706"/>
      <c r="M75" s="706"/>
    </row>
    <row r="76" spans="1:13" hidden="1">
      <c r="A76" s="490"/>
      <c r="B76" s="562">
        <v>65</v>
      </c>
      <c r="C76" s="719"/>
      <c r="D76" s="9"/>
      <c r="E76" s="721"/>
      <c r="F76" s="5"/>
      <c r="G76" s="723"/>
      <c r="H76" s="5"/>
      <c r="I76" s="781">
        <f>IF(Consolidado_Geral!$G$133=7.6%,-(0.0165+0.076)*G76,0)</f>
        <v>0</v>
      </c>
      <c r="J76" s="706"/>
      <c r="K76" s="724">
        <f t="shared" si="0"/>
        <v>0</v>
      </c>
      <c r="L76" s="706"/>
      <c r="M76" s="706"/>
    </row>
    <row r="77" spans="1:13" hidden="1">
      <c r="A77" s="490"/>
      <c r="B77" s="562">
        <v>66</v>
      </c>
      <c r="C77" s="719"/>
      <c r="D77" s="9"/>
      <c r="E77" s="721"/>
      <c r="F77" s="5"/>
      <c r="G77" s="723"/>
      <c r="H77" s="5"/>
      <c r="I77" s="781">
        <f>IF(Consolidado_Geral!$G$133=7.6%,-(0.0165+0.076)*G77,0)</f>
        <v>0</v>
      </c>
      <c r="J77" s="706"/>
      <c r="K77" s="724">
        <f t="shared" ref="K77:K88" si="1">IF(D$6&gt;0,((G77+I77)*E77)/$D$6,0)</f>
        <v>0</v>
      </c>
      <c r="L77" s="706"/>
      <c r="M77" s="706"/>
    </row>
    <row r="78" spans="1:13" hidden="1">
      <c r="A78" s="490"/>
      <c r="B78" s="562">
        <v>67</v>
      </c>
      <c r="C78" s="719"/>
      <c r="D78" s="9"/>
      <c r="E78" s="721"/>
      <c r="F78" s="5"/>
      <c r="G78" s="723"/>
      <c r="H78" s="5"/>
      <c r="I78" s="781">
        <f>IF(Consolidado_Geral!$G$133=7.6%,-(0.0165+0.076)*G78,0)</f>
        <v>0</v>
      </c>
      <c r="J78" s="706"/>
      <c r="K78" s="724">
        <f t="shared" si="1"/>
        <v>0</v>
      </c>
      <c r="L78" s="706"/>
      <c r="M78" s="706"/>
    </row>
    <row r="79" spans="1:13" hidden="1">
      <c r="A79" s="490"/>
      <c r="B79" s="562">
        <v>68</v>
      </c>
      <c r="C79" s="719"/>
      <c r="D79" s="9"/>
      <c r="E79" s="721"/>
      <c r="F79" s="5"/>
      <c r="G79" s="723"/>
      <c r="H79" s="5"/>
      <c r="I79" s="781">
        <f>IF(Consolidado_Geral!$G$133=7.6%,-(0.0165+0.076)*G79,0)</f>
        <v>0</v>
      </c>
      <c r="J79" s="706"/>
      <c r="K79" s="724">
        <f t="shared" si="1"/>
        <v>0</v>
      </c>
      <c r="L79" s="706"/>
      <c r="M79" s="706"/>
    </row>
    <row r="80" spans="1:13" hidden="1">
      <c r="A80" s="490"/>
      <c r="B80" s="562">
        <v>69</v>
      </c>
      <c r="C80" s="719"/>
      <c r="D80" s="9"/>
      <c r="E80" s="721"/>
      <c r="F80" s="5"/>
      <c r="G80" s="723"/>
      <c r="H80" s="5"/>
      <c r="I80" s="781">
        <f>IF(Consolidado_Geral!$G$133=7.6%,-(0.0165+0.076)*G80,0)</f>
        <v>0</v>
      </c>
      <c r="J80" s="706"/>
      <c r="K80" s="724">
        <f t="shared" si="1"/>
        <v>0</v>
      </c>
      <c r="L80" s="706"/>
      <c r="M80" s="706"/>
    </row>
    <row r="81" spans="1:13" hidden="1">
      <c r="A81" s="490"/>
      <c r="B81" s="562">
        <v>70</v>
      </c>
      <c r="C81" s="719"/>
      <c r="D81" s="9"/>
      <c r="E81" s="721"/>
      <c r="F81" s="5"/>
      <c r="G81" s="723"/>
      <c r="H81" s="5"/>
      <c r="I81" s="781">
        <f>IF(Consolidado_Geral!$G$133=7.6%,-(0.0165+0.076)*G81,0)</f>
        <v>0</v>
      </c>
      <c r="J81" s="706"/>
      <c r="K81" s="724">
        <f t="shared" si="1"/>
        <v>0</v>
      </c>
      <c r="L81" s="706"/>
      <c r="M81" s="706"/>
    </row>
    <row r="82" spans="1:13" hidden="1">
      <c r="A82" s="490"/>
      <c r="B82" s="562">
        <v>71</v>
      </c>
      <c r="C82" s="719"/>
      <c r="D82" s="9"/>
      <c r="E82" s="721"/>
      <c r="F82" s="5"/>
      <c r="G82" s="723"/>
      <c r="H82" s="5"/>
      <c r="I82" s="781">
        <f>IF(Consolidado_Geral!$G$133=7.6%,-(0.0165+0.076)*G82,0)</f>
        <v>0</v>
      </c>
      <c r="J82" s="706"/>
      <c r="K82" s="724">
        <f t="shared" si="1"/>
        <v>0</v>
      </c>
      <c r="L82" s="706"/>
      <c r="M82" s="706"/>
    </row>
    <row r="83" spans="1:13" hidden="1">
      <c r="A83" s="490"/>
      <c r="B83" s="562">
        <v>72</v>
      </c>
      <c r="C83" s="719"/>
      <c r="D83" s="9"/>
      <c r="E83" s="721"/>
      <c r="F83" s="5"/>
      <c r="G83" s="723"/>
      <c r="H83" s="5"/>
      <c r="I83" s="781">
        <f>IF(Consolidado_Geral!$G$133=7.6%,-(0.0165+0.076)*G83,0)</f>
        <v>0</v>
      </c>
      <c r="J83" s="706"/>
      <c r="K83" s="724">
        <f t="shared" si="1"/>
        <v>0</v>
      </c>
      <c r="L83" s="706"/>
      <c r="M83" s="706"/>
    </row>
    <row r="84" spans="1:13" hidden="1">
      <c r="A84" s="490"/>
      <c r="B84" s="562">
        <v>73</v>
      </c>
      <c r="C84" s="719"/>
      <c r="D84" s="9"/>
      <c r="E84" s="721"/>
      <c r="F84" s="5"/>
      <c r="G84" s="723"/>
      <c r="H84" s="5"/>
      <c r="I84" s="781">
        <f>IF(Consolidado_Geral!$G$133=7.6%,-(0.0165+0.076)*G84,0)</f>
        <v>0</v>
      </c>
      <c r="J84" s="706"/>
      <c r="K84" s="724">
        <f t="shared" si="1"/>
        <v>0</v>
      </c>
      <c r="L84" s="706"/>
      <c r="M84" s="706"/>
    </row>
    <row r="85" spans="1:13" hidden="1">
      <c r="A85" s="490"/>
      <c r="B85" s="562">
        <v>74</v>
      </c>
      <c r="C85" s="719"/>
      <c r="D85" s="9"/>
      <c r="E85" s="721"/>
      <c r="F85" s="5"/>
      <c r="G85" s="723"/>
      <c r="H85" s="5"/>
      <c r="I85" s="781">
        <f>IF(Consolidado_Geral!$G$133=7.6%,-(0.0165+0.076)*G85,0)</f>
        <v>0</v>
      </c>
      <c r="J85" s="706"/>
      <c r="K85" s="724">
        <f t="shared" si="1"/>
        <v>0</v>
      </c>
      <c r="L85" s="706"/>
      <c r="M85" s="706"/>
    </row>
    <row r="86" spans="1:13" hidden="1">
      <c r="A86" s="490"/>
      <c r="B86" s="562">
        <v>75</v>
      </c>
      <c r="C86" s="719"/>
      <c r="D86" s="9"/>
      <c r="E86" s="721"/>
      <c r="F86" s="5"/>
      <c r="G86" s="723"/>
      <c r="H86" s="5"/>
      <c r="I86" s="781">
        <f>IF(Consolidado_Geral!$G$133=7.6%,-(0.0165+0.076)*G86,0)</f>
        <v>0</v>
      </c>
      <c r="J86" s="706"/>
      <c r="K86" s="724">
        <f t="shared" si="1"/>
        <v>0</v>
      </c>
      <c r="L86" s="706"/>
      <c r="M86" s="706"/>
    </row>
    <row r="87" spans="1:13" hidden="1">
      <c r="A87" s="490"/>
      <c r="B87" s="562">
        <v>76</v>
      </c>
      <c r="C87" s="719"/>
      <c r="D87" s="9"/>
      <c r="E87" s="721"/>
      <c r="F87" s="5"/>
      <c r="G87" s="723"/>
      <c r="H87" s="5"/>
      <c r="I87" s="781">
        <f>IF(Consolidado_Geral!$G$133=7.6%,-(0.0165+0.076)*G87,0)</f>
        <v>0</v>
      </c>
      <c r="J87" s="706"/>
      <c r="K87" s="724">
        <f t="shared" si="1"/>
        <v>0</v>
      </c>
      <c r="L87" s="706"/>
      <c r="M87" s="706"/>
    </row>
    <row r="88" spans="1:13" hidden="1">
      <c r="A88" s="490"/>
      <c r="B88" s="562">
        <v>77</v>
      </c>
      <c r="C88" s="719"/>
      <c r="D88" s="9"/>
      <c r="E88" s="721"/>
      <c r="F88" s="5"/>
      <c r="G88" s="723"/>
      <c r="H88" s="5"/>
      <c r="I88" s="781">
        <f>IF(Consolidado_Geral!$G$133=7.6%,-(0.0165+0.076)*G88,0)</f>
        <v>0</v>
      </c>
      <c r="J88" s="706"/>
      <c r="K88" s="724">
        <f t="shared" si="1"/>
        <v>0</v>
      </c>
      <c r="L88" s="706"/>
      <c r="M88" s="706"/>
    </row>
    <row r="89" spans="1:13" ht="13.5" hidden="1" thickBot="1">
      <c r="A89" s="490"/>
      <c r="B89" s="562">
        <v>78</v>
      </c>
      <c r="C89" s="720"/>
      <c r="D89" s="9"/>
      <c r="E89" s="722"/>
      <c r="F89" s="5"/>
      <c r="G89" s="654"/>
      <c r="H89" s="5"/>
      <c r="I89" s="654">
        <f>IF(Consolidado_Geral!$G$133=7.6%,-(0.0165+0.076)*G89,0)</f>
        <v>0</v>
      </c>
      <c r="J89" s="706"/>
      <c r="K89" s="725">
        <f>IF(D$6&gt;0,((G89+I89)*E89)/$D$6,0)</f>
        <v>0</v>
      </c>
      <c r="L89" s="706"/>
      <c r="M89" s="706"/>
    </row>
    <row r="90" spans="1:13" ht="15" customHeight="1">
      <c r="A90" s="490"/>
      <c r="B90" s="562"/>
      <c r="C90" s="704"/>
      <c r="D90" s="9"/>
      <c r="E90" s="8"/>
      <c r="F90" s="5"/>
      <c r="G90" s="5"/>
      <c r="H90" s="5"/>
      <c r="I90" s="5"/>
      <c r="J90" s="706"/>
      <c r="K90" s="5"/>
      <c r="L90" s="706"/>
      <c r="M90" s="706"/>
    </row>
    <row r="91" spans="1:13">
      <c r="A91" s="706"/>
      <c r="B91" s="706"/>
      <c r="C91" s="717"/>
      <c r="D91" s="706"/>
      <c r="E91" s="706"/>
      <c r="F91" s="706"/>
      <c r="G91" s="706"/>
      <c r="H91" s="706"/>
      <c r="I91" s="706"/>
      <c r="J91" s="706"/>
      <c r="K91" s="706"/>
      <c r="L91" s="706"/>
      <c r="M91" s="706"/>
    </row>
    <row r="92" spans="1:13">
      <c r="A92" s="706"/>
      <c r="B92" s="706"/>
      <c r="C92" s="717"/>
      <c r="D92" s="706"/>
      <c r="E92" s="706"/>
      <c r="F92" s="706"/>
      <c r="G92" s="706"/>
      <c r="H92" s="706"/>
      <c r="I92" s="706"/>
      <c r="J92" s="706"/>
      <c r="K92" s="706"/>
      <c r="L92" s="706"/>
      <c r="M92" s="706"/>
    </row>
    <row r="93" spans="1:13">
      <c r="A93" s="706"/>
      <c r="B93" s="706"/>
      <c r="C93" s="717"/>
      <c r="D93" s="706"/>
      <c r="E93" s="706"/>
      <c r="F93" s="706"/>
      <c r="G93" s="706"/>
      <c r="H93" s="706"/>
      <c r="I93" s="706"/>
      <c r="J93" s="706"/>
      <c r="K93" s="706"/>
      <c r="L93" s="706"/>
      <c r="M93" s="706"/>
    </row>
    <row r="94" spans="1:13">
      <c r="A94" s="706"/>
      <c r="B94" s="706"/>
      <c r="C94" s="717"/>
      <c r="D94" s="706"/>
      <c r="E94" s="706"/>
      <c r="F94" s="706"/>
      <c r="G94" s="706"/>
      <c r="H94" s="706"/>
      <c r="I94" s="706"/>
      <c r="J94" s="706"/>
      <c r="K94" s="706"/>
      <c r="L94" s="706"/>
      <c r="M94" s="706"/>
    </row>
  </sheetData>
  <sheetProtection password="CADB" sheet="1" objects="1" scenarios="1" formatCells="0" formatColumns="0" formatRows="0"/>
  <mergeCells count="2">
    <mergeCell ref="B4:K4"/>
    <mergeCell ref="D6:F6"/>
  </mergeCells>
  <phoneticPr fontId="31" type="noConversion"/>
  <printOptions horizontalCentered="1"/>
  <pageMargins left="0.6692913385826772" right="0.47244094488188981" top="0.78740157480314965" bottom="0.98425196850393704" header="0.51181102362204722" footer="0.51181102362204722"/>
  <pageSetup paperSize="9" scale="90" orientation="portrait" blackAndWhite="1" r:id="rId1"/>
  <headerFooter alignWithMargins="0">
    <oddFooter>&amp;R&amp;F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Plan3" enableFormatConditionsCalculation="0">
    <tabColor indexed="18"/>
    <pageSetUpPr fitToPage="1"/>
  </sheetPr>
  <dimension ref="C1:J60"/>
  <sheetViews>
    <sheetView showGridLines="0" showZeros="0" topLeftCell="B1" workbookViewId="0">
      <selection activeCell="C4" sqref="C4:F4"/>
    </sheetView>
  </sheetViews>
  <sheetFormatPr defaultRowHeight="12" customHeight="1"/>
  <cols>
    <col min="1" max="1" width="4.85546875" style="258" customWidth="1"/>
    <col min="2" max="2" width="2.5703125" style="258" customWidth="1"/>
    <col min="3" max="3" width="3" style="258" customWidth="1"/>
    <col min="4" max="4" width="56.140625" style="258" customWidth="1"/>
    <col min="5" max="5" width="9.140625" style="258"/>
    <col min="6" max="6" width="11.7109375" style="259" customWidth="1"/>
    <col min="7" max="7" width="0.140625" style="259" customWidth="1"/>
    <col min="8" max="8" width="1.28515625" style="258" customWidth="1"/>
    <col min="9" max="9" width="17" style="260" customWidth="1"/>
    <col min="10" max="10" width="2.28515625" style="261" customWidth="1"/>
    <col min="11" max="16384" width="9.140625" style="258"/>
  </cols>
  <sheetData>
    <row r="1" spans="3:10" ht="6.75" customHeight="1"/>
    <row r="2" spans="3:10" ht="15" customHeight="1">
      <c r="F2" s="258"/>
      <c r="G2" s="258"/>
      <c r="I2" s="258"/>
    </row>
    <row r="3" spans="3:10" ht="8.25" customHeight="1"/>
    <row r="4" spans="3:10" ht="15.75" customHeight="1" thickBot="1">
      <c r="C4" s="1098" t="s">
        <v>99</v>
      </c>
      <c r="D4" s="1099"/>
      <c r="E4" s="1099"/>
      <c r="F4" s="1100"/>
      <c r="G4" s="262"/>
      <c r="H4" s="262"/>
      <c r="I4" s="617" t="s">
        <v>177</v>
      </c>
    </row>
    <row r="5" spans="3:10" ht="6" customHeight="1">
      <c r="I5" s="618"/>
    </row>
    <row r="6" spans="3:10" ht="21" customHeight="1" thickBot="1">
      <c r="C6" s="1098" t="s">
        <v>48</v>
      </c>
      <c r="D6" s="1099"/>
      <c r="E6" s="1099"/>
      <c r="F6" s="1103"/>
      <c r="G6" s="263"/>
      <c r="I6" s="619" t="s">
        <v>185</v>
      </c>
    </row>
    <row r="7" spans="3:10" ht="3.75" customHeight="1">
      <c r="C7" s="262"/>
      <c r="D7" s="262"/>
      <c r="E7" s="262"/>
      <c r="F7" s="264"/>
      <c r="G7" s="264"/>
      <c r="I7" s="620"/>
    </row>
    <row r="8" spans="3:10" ht="12.75" customHeight="1">
      <c r="C8" s="421">
        <v>1</v>
      </c>
      <c r="D8" s="421" t="s">
        <v>49</v>
      </c>
      <c r="F8" s="917">
        <v>0.2</v>
      </c>
      <c r="G8" s="266"/>
      <c r="I8" s="621">
        <v>0.2</v>
      </c>
      <c r="J8" s="267"/>
    </row>
    <row r="9" spans="3:10" ht="12.75" customHeight="1">
      <c r="C9" s="421">
        <v>2</v>
      </c>
      <c r="D9" s="421" t="s">
        <v>50</v>
      </c>
      <c r="F9" s="917">
        <v>1.4999999999999999E-2</v>
      </c>
      <c r="G9" s="266"/>
      <c r="I9" s="621">
        <v>1.4999999999999999E-2</v>
      </c>
      <c r="J9" s="267"/>
    </row>
    <row r="10" spans="3:10" ht="12.75" customHeight="1">
      <c r="C10" s="421">
        <v>3</v>
      </c>
      <c r="D10" s="421" t="s">
        <v>51</v>
      </c>
      <c r="F10" s="917">
        <v>0.01</v>
      </c>
      <c r="G10" s="266"/>
      <c r="I10" s="621">
        <v>0.01</v>
      </c>
      <c r="J10" s="267"/>
    </row>
    <row r="11" spans="3:10" ht="12.75" customHeight="1">
      <c r="C11" s="421">
        <v>4</v>
      </c>
      <c r="D11" s="421" t="s">
        <v>47</v>
      </c>
      <c r="F11" s="917">
        <v>2E-3</v>
      </c>
      <c r="G11" s="266"/>
      <c r="I11" s="621">
        <v>2E-3</v>
      </c>
      <c r="J11" s="267"/>
    </row>
    <row r="12" spans="3:10" ht="12.75" customHeight="1">
      <c r="C12" s="421">
        <v>5</v>
      </c>
      <c r="D12" s="421" t="s">
        <v>45</v>
      </c>
      <c r="F12" s="917">
        <v>2.5000000000000001E-2</v>
      </c>
      <c r="G12" s="266"/>
      <c r="I12" s="621">
        <v>2.5000000000000001E-2</v>
      </c>
      <c r="J12" s="267"/>
    </row>
    <row r="13" spans="3:10" ht="12.75" customHeight="1">
      <c r="C13" s="421">
        <v>6</v>
      </c>
      <c r="D13" s="421" t="s">
        <v>52</v>
      </c>
      <c r="F13" s="917">
        <v>0.08</v>
      </c>
      <c r="G13" s="266"/>
      <c r="I13" s="621">
        <v>0.08</v>
      </c>
      <c r="J13" s="267"/>
    </row>
    <row r="14" spans="3:10" ht="12.75" customHeight="1">
      <c r="C14" s="421">
        <v>7</v>
      </c>
      <c r="D14" s="913" t="s">
        <v>53</v>
      </c>
      <c r="E14" s="914">
        <v>0.03</v>
      </c>
      <c r="F14" s="1096">
        <f>IF(E15&lt;0.5,E14,E14*E15)</f>
        <v>0.03</v>
      </c>
      <c r="G14" s="424">
        <f>F14</f>
        <v>0.03</v>
      </c>
      <c r="I14" s="621">
        <v>0.03</v>
      </c>
      <c r="J14" s="267"/>
    </row>
    <row r="15" spans="3:10" ht="12.75" customHeight="1">
      <c r="D15" s="913" t="s">
        <v>587</v>
      </c>
      <c r="E15" s="915"/>
      <c r="F15" s="1097"/>
      <c r="G15" s="266"/>
      <c r="I15" s="916">
        <v>2</v>
      </c>
      <c r="J15" s="267"/>
    </row>
    <row r="16" spans="3:10" ht="12.75" customHeight="1">
      <c r="C16" s="421">
        <v>8</v>
      </c>
      <c r="D16" s="421" t="s">
        <v>46</v>
      </c>
      <c r="F16" s="917">
        <v>6.0000000000000001E-3</v>
      </c>
      <c r="G16" s="266"/>
      <c r="I16" s="621">
        <v>6.0000000000000001E-3</v>
      </c>
      <c r="J16" s="267"/>
    </row>
    <row r="17" spans="3:10" ht="3.75" customHeight="1">
      <c r="C17" s="421"/>
      <c r="D17" s="421"/>
      <c r="E17" s="421"/>
      <c r="F17" s="268"/>
      <c r="G17" s="266"/>
      <c r="I17" s="622"/>
      <c r="J17" s="267"/>
    </row>
    <row r="18" spans="3:10" ht="12" customHeight="1" thickBot="1">
      <c r="C18" s="1102" t="s">
        <v>62</v>
      </c>
      <c r="D18" s="1102"/>
      <c r="E18" s="1102"/>
      <c r="F18" s="423">
        <f>IF(F14&gt;6%,SUM(F8:F13,F16),SUM(F8:F16))</f>
        <v>0.3680000000000001</v>
      </c>
      <c r="G18" s="268"/>
      <c r="I18" s="623">
        <f>SUM(I8:J13,I16)+(I14*I15)</f>
        <v>0.39800000000000008</v>
      </c>
      <c r="J18" s="267"/>
    </row>
    <row r="19" spans="3:10" ht="3.75" customHeight="1">
      <c r="C19" s="230"/>
      <c r="D19" s="230"/>
      <c r="E19" s="230"/>
      <c r="F19" s="268"/>
      <c r="G19" s="269"/>
      <c r="I19" s="624"/>
      <c r="J19" s="267"/>
    </row>
    <row r="20" spans="3:10" ht="21" customHeight="1" thickBot="1">
      <c r="C20" s="1098" t="s">
        <v>54</v>
      </c>
      <c r="D20" s="1099"/>
      <c r="E20" s="1099"/>
      <c r="F20" s="1103"/>
      <c r="G20" s="263"/>
      <c r="I20" s="625"/>
      <c r="J20" s="270"/>
    </row>
    <row r="21" spans="3:10" ht="3.75" customHeight="1">
      <c r="C21" s="230"/>
      <c r="D21" s="230"/>
      <c r="E21" s="230"/>
      <c r="F21" s="230"/>
      <c r="G21" s="264"/>
      <c r="I21" s="625"/>
      <c r="J21" s="270"/>
    </row>
    <row r="22" spans="3:10" ht="12.75" customHeight="1">
      <c r="C22" s="421">
        <v>9</v>
      </c>
      <c r="D22" s="421" t="s">
        <v>472</v>
      </c>
      <c r="F22" s="917">
        <f>1/12</f>
        <v>8.3333333333333329E-2</v>
      </c>
      <c r="G22" s="266"/>
      <c r="I22" s="621">
        <f>1/12</f>
        <v>8.3333333333333329E-2</v>
      </c>
      <c r="J22" s="267"/>
    </row>
    <row r="23" spans="3:10" ht="12.75" customHeight="1">
      <c r="C23" s="421">
        <v>10</v>
      </c>
      <c r="D23" s="421" t="s">
        <v>471</v>
      </c>
      <c r="F23" s="917">
        <f>(1/3)/12</f>
        <v>2.7777777777777776E-2</v>
      </c>
      <c r="G23" s="266"/>
      <c r="I23" s="621">
        <f>(1/3)/12</f>
        <v>2.7777777777777776E-2</v>
      </c>
      <c r="J23" s="267"/>
    </row>
    <row r="24" spans="3:10" ht="12.75" customHeight="1">
      <c r="C24" s="421">
        <v>11</v>
      </c>
      <c r="D24" s="421" t="s">
        <v>167</v>
      </c>
      <c r="F24" s="917">
        <v>1.3899999999999999E-2</v>
      </c>
      <c r="G24" s="266"/>
      <c r="I24" s="621">
        <v>1.3899999999999999E-2</v>
      </c>
      <c r="J24" s="267"/>
    </row>
    <row r="25" spans="3:10" ht="12.75" customHeight="1">
      <c r="C25" s="421">
        <v>12</v>
      </c>
      <c r="D25" s="421" t="s">
        <v>2</v>
      </c>
      <c r="F25" s="917">
        <v>2.0000000000000001E-4</v>
      </c>
      <c r="G25" s="266"/>
      <c r="I25" s="621">
        <v>2.0000000000000001E-4</v>
      </c>
      <c r="J25" s="267"/>
    </row>
    <row r="26" spans="3:10" ht="12.75" customHeight="1">
      <c r="C26" s="421">
        <v>13</v>
      </c>
      <c r="D26" s="421" t="s">
        <v>168</v>
      </c>
      <c r="F26" s="917">
        <v>2.8E-3</v>
      </c>
      <c r="G26" s="266"/>
      <c r="I26" s="621">
        <v>2.8E-3</v>
      </c>
      <c r="J26" s="267"/>
    </row>
    <row r="27" spans="3:10" ht="12.75" customHeight="1">
      <c r="C27" s="421">
        <v>14</v>
      </c>
      <c r="D27" s="421" t="s">
        <v>169</v>
      </c>
      <c r="F27" s="917">
        <v>3.3E-3</v>
      </c>
      <c r="G27" s="266"/>
      <c r="I27" s="621">
        <v>3.3E-3</v>
      </c>
      <c r="J27" s="267"/>
    </row>
    <row r="28" spans="3:10" ht="12.75" customHeight="1">
      <c r="C28" s="421">
        <v>15</v>
      </c>
      <c r="D28" s="421" t="s">
        <v>441</v>
      </c>
      <c r="F28" s="917">
        <v>4.0000000000000002E-4</v>
      </c>
      <c r="G28" s="266"/>
      <c r="I28" s="621">
        <v>4.0000000000000002E-4</v>
      </c>
      <c r="J28" s="267"/>
    </row>
    <row r="29" spans="3:10" ht="12.75" customHeight="1">
      <c r="C29" s="421">
        <v>16</v>
      </c>
      <c r="D29" s="421" t="s">
        <v>170</v>
      </c>
      <c r="F29" s="917">
        <f>1/12</f>
        <v>8.3333333333333329E-2</v>
      </c>
      <c r="G29" s="266"/>
      <c r="I29" s="621">
        <f>1/12</f>
        <v>8.3333333333333329E-2</v>
      </c>
      <c r="J29" s="267"/>
    </row>
    <row r="30" spans="3:10" ht="3.75" customHeight="1">
      <c r="C30" s="421"/>
      <c r="D30" s="421"/>
      <c r="E30" s="421"/>
      <c r="F30" s="268"/>
      <c r="G30" s="266"/>
      <c r="I30" s="622"/>
      <c r="J30" s="267"/>
    </row>
    <row r="31" spans="3:10" ht="13.5" customHeight="1" thickBot="1">
      <c r="C31" s="1102" t="s">
        <v>62</v>
      </c>
      <c r="D31" s="1102"/>
      <c r="E31" s="1102"/>
      <c r="F31" s="423">
        <f>SUM(F22:F30)</f>
        <v>0.21504444444444443</v>
      </c>
      <c r="G31" s="268"/>
      <c r="I31" s="623">
        <f>SUM(I22:I30)</f>
        <v>0.21504444444444443</v>
      </c>
      <c r="J31" s="267"/>
    </row>
    <row r="32" spans="3:10" ht="3.75" customHeight="1">
      <c r="C32" s="230"/>
      <c r="D32" s="230"/>
      <c r="E32" s="230"/>
      <c r="F32" s="268"/>
      <c r="G32" s="269"/>
      <c r="I32" s="624"/>
      <c r="J32" s="267"/>
    </row>
    <row r="33" spans="3:10" ht="21" customHeight="1" thickBot="1">
      <c r="C33" s="1098" t="s">
        <v>55</v>
      </c>
      <c r="D33" s="1099"/>
      <c r="E33" s="1099"/>
      <c r="F33" s="1103"/>
      <c r="G33" s="263"/>
      <c r="I33" s="625"/>
      <c r="J33" s="270"/>
    </row>
    <row r="34" spans="3:10" ht="3.75" customHeight="1">
      <c r="C34" s="271"/>
      <c r="D34" s="271"/>
      <c r="E34" s="271"/>
      <c r="F34" s="230"/>
      <c r="G34" s="264"/>
      <c r="I34" s="625"/>
      <c r="J34" s="270"/>
    </row>
    <row r="35" spans="3:10" ht="12.75" customHeight="1">
      <c r="C35" s="421">
        <v>17</v>
      </c>
      <c r="D35" s="1094" t="s">
        <v>487</v>
      </c>
      <c r="E35" s="1095"/>
      <c r="F35" s="917">
        <f>33/360*5%</f>
        <v>4.5833333333333334E-3</v>
      </c>
      <c r="G35" s="266"/>
      <c r="I35" s="621">
        <v>4.5999999999999999E-3</v>
      </c>
      <c r="J35" s="267"/>
    </row>
    <row r="36" spans="3:10" ht="12.75" customHeight="1">
      <c r="C36" s="421">
        <v>18</v>
      </c>
      <c r="D36" s="1094" t="s">
        <v>3</v>
      </c>
      <c r="E36" s="1094"/>
      <c r="F36" s="917">
        <v>8.0000000000000004E-4</v>
      </c>
      <c r="G36" s="266"/>
      <c r="I36" s="621">
        <v>8.0000000000000004E-4</v>
      </c>
      <c r="J36" s="267"/>
    </row>
    <row r="37" spans="3:10" ht="12.75" customHeight="1">
      <c r="C37" s="421">
        <v>19</v>
      </c>
      <c r="D37" s="1101" t="s">
        <v>56</v>
      </c>
      <c r="E37" s="1101"/>
      <c r="F37" s="917">
        <f>F13*0.5*0.9</f>
        <v>3.6000000000000004E-2</v>
      </c>
      <c r="G37" s="266"/>
      <c r="I37" s="621">
        <f>I13*0.5*0.9</f>
        <v>3.6000000000000004E-2</v>
      </c>
      <c r="J37" s="267"/>
    </row>
    <row r="38" spans="3:10" ht="3.75" customHeight="1">
      <c r="C38" s="421"/>
      <c r="D38" s="422"/>
      <c r="E38" s="422"/>
      <c r="F38" s="268"/>
      <c r="G38" s="266"/>
      <c r="I38" s="622"/>
      <c r="J38" s="267"/>
    </row>
    <row r="39" spans="3:10" ht="12" customHeight="1" thickBot="1">
      <c r="C39" s="1102" t="s">
        <v>62</v>
      </c>
      <c r="D39" s="1102"/>
      <c r="E39" s="1102"/>
      <c r="F39" s="423">
        <f>SUM(F35:F38)</f>
        <v>4.1383333333333341E-2</v>
      </c>
      <c r="G39" s="268"/>
      <c r="I39" s="623">
        <f>SUM(I35:I38)</f>
        <v>4.1400000000000006E-2</v>
      </c>
      <c r="J39" s="267"/>
    </row>
    <row r="40" spans="3:10" ht="3.75" customHeight="1">
      <c r="C40" s="230"/>
      <c r="D40" s="230"/>
      <c r="E40" s="230"/>
      <c r="F40" s="268"/>
      <c r="G40" s="269"/>
      <c r="I40" s="624"/>
      <c r="J40" s="267"/>
    </row>
    <row r="41" spans="3:10" ht="21" customHeight="1" thickBot="1">
      <c r="C41" s="1098" t="s">
        <v>57</v>
      </c>
      <c r="D41" s="1099"/>
      <c r="E41" s="1099"/>
      <c r="F41" s="1103"/>
      <c r="G41" s="263"/>
      <c r="I41" s="625"/>
      <c r="J41" s="270"/>
    </row>
    <row r="42" spans="3:10" ht="3.75" customHeight="1">
      <c r="C42" s="230"/>
      <c r="D42" s="230"/>
      <c r="E42" s="230"/>
      <c r="F42" s="230"/>
      <c r="G42" s="264"/>
      <c r="I42" s="625"/>
      <c r="J42" s="270"/>
    </row>
    <row r="43" spans="3:10" ht="12" customHeight="1" thickBot="1">
      <c r="C43" s="421">
        <v>20</v>
      </c>
      <c r="D43" s="1101" t="s">
        <v>576</v>
      </c>
      <c r="E43" s="1101"/>
      <c r="F43" s="918">
        <f>(F31-F23+F35)*F18</f>
        <v>7.0600800000000005E-2</v>
      </c>
      <c r="G43" s="266"/>
      <c r="I43" s="623">
        <f>(I31-2.78%+I35)*I18</f>
        <v>7.6354088888888894E-2</v>
      </c>
      <c r="J43" s="267"/>
    </row>
    <row r="44" spans="3:10" ht="3.75" customHeight="1">
      <c r="C44" s="271"/>
      <c r="D44" s="265"/>
      <c r="E44" s="265"/>
      <c r="F44" s="268"/>
      <c r="G44" s="266"/>
      <c r="I44" s="624"/>
      <c r="J44" s="267"/>
    </row>
    <row r="45" spans="3:10" s="273" customFormat="1" ht="0.75" customHeight="1">
      <c r="C45" s="271"/>
      <c r="D45" s="272"/>
      <c r="E45" s="272"/>
      <c r="F45" s="424">
        <f>SUM(F18,F31,F39,F43)</f>
        <v>0.69502857777777782</v>
      </c>
      <c r="G45" s="424">
        <f>SUM(G18,G31,G39,G43)</f>
        <v>0</v>
      </c>
      <c r="H45" s="424">
        <f>SUM(H18,H31,H39,H43)</f>
        <v>0</v>
      </c>
      <c r="I45" s="626">
        <f>SUM(I18,I31,I39,I43)</f>
        <v>0.73079853333333333</v>
      </c>
      <c r="J45" s="267"/>
    </row>
    <row r="46" spans="3:10" ht="3.75" customHeight="1">
      <c r="C46" s="1088"/>
      <c r="D46" s="1088"/>
      <c r="E46" s="1088"/>
      <c r="F46" s="274"/>
      <c r="G46" s="275"/>
      <c r="I46" s="625"/>
      <c r="J46" s="276"/>
    </row>
    <row r="47" spans="3:10" ht="15" customHeight="1" thickBot="1">
      <c r="C47" s="1089" t="s">
        <v>58</v>
      </c>
      <c r="D47" s="1090"/>
      <c r="E47" s="1090"/>
      <c r="F47" s="423">
        <f>SUM(F43,F39,F31,F18)</f>
        <v>0.69502857777777782</v>
      </c>
      <c r="G47" s="268"/>
      <c r="I47" s="627">
        <f>SUM(I43,I39,I31,I18)</f>
        <v>0.73079853333333333</v>
      </c>
      <c r="J47" s="267"/>
    </row>
    <row r="48" spans="3:10" ht="5.25" customHeight="1">
      <c r="C48" s="214"/>
      <c r="D48" s="214"/>
      <c r="E48" s="214"/>
    </row>
    <row r="49" spans="3:10" ht="7.5" customHeight="1">
      <c r="C49" s="777" t="s">
        <v>579</v>
      </c>
      <c r="D49" s="214"/>
      <c r="E49" s="214"/>
    </row>
    <row r="50" spans="3:10" ht="74.25" customHeight="1">
      <c r="C50" s="1091" t="s">
        <v>580</v>
      </c>
      <c r="D50" s="1092"/>
      <c r="E50" s="1092"/>
      <c r="F50" s="1093"/>
      <c r="G50" s="277"/>
      <c r="H50" s="277"/>
      <c r="I50" s="277"/>
      <c r="J50" s="277"/>
    </row>
    <row r="51" spans="3:10" ht="7.5" customHeight="1">
      <c r="C51" s="889"/>
      <c r="D51" s="278"/>
      <c r="E51" s="278"/>
      <c r="F51" s="890"/>
      <c r="G51" s="278"/>
      <c r="H51" s="278"/>
      <c r="I51" s="278"/>
      <c r="J51" s="278"/>
    </row>
    <row r="52" spans="3:10" ht="4.5" customHeight="1">
      <c r="C52" s="1085"/>
      <c r="D52" s="1086"/>
      <c r="E52" s="1086"/>
      <c r="F52" s="1087"/>
      <c r="G52" s="278"/>
      <c r="H52" s="278"/>
      <c r="I52" s="278"/>
      <c r="J52" s="278"/>
    </row>
    <row r="53" spans="3:10" ht="12" customHeight="1">
      <c r="C53" s="278"/>
      <c r="D53" s="278"/>
      <c r="E53" s="278"/>
      <c r="F53" s="278"/>
      <c r="G53" s="278"/>
      <c r="H53" s="278"/>
      <c r="I53" s="278"/>
      <c r="J53" s="278"/>
    </row>
    <row r="54" spans="3:10" ht="12" customHeight="1">
      <c r="C54" s="278"/>
      <c r="D54" s="278"/>
      <c r="E54" s="278"/>
      <c r="F54" s="278"/>
      <c r="G54" s="278"/>
      <c r="H54" s="278"/>
      <c r="I54" s="278"/>
      <c r="J54" s="278"/>
    </row>
    <row r="55" spans="3:10" ht="12" customHeight="1">
      <c r="C55" s="279"/>
      <c r="D55" s="279"/>
      <c r="E55" s="279"/>
      <c r="F55" s="279"/>
      <c r="G55" s="279"/>
      <c r="H55" s="279"/>
      <c r="I55" s="279"/>
      <c r="J55" s="279"/>
    </row>
    <row r="56" spans="3:10" ht="12" customHeight="1">
      <c r="C56" s="279"/>
      <c r="D56" s="279"/>
      <c r="E56" s="279"/>
      <c r="F56" s="279"/>
      <c r="G56" s="279"/>
      <c r="H56" s="279"/>
      <c r="I56" s="279"/>
      <c r="J56" s="279"/>
    </row>
    <row r="57" spans="3:10" ht="12" customHeight="1">
      <c r="C57" s="279"/>
      <c r="D57" s="279"/>
      <c r="E57" s="279"/>
      <c r="F57" s="279"/>
      <c r="G57" s="279"/>
      <c r="H57" s="279"/>
      <c r="I57" s="279"/>
      <c r="J57" s="279"/>
    </row>
    <row r="58" spans="3:10" ht="12" customHeight="1">
      <c r="C58" s="279"/>
      <c r="D58" s="279"/>
      <c r="E58" s="279"/>
      <c r="F58" s="279"/>
      <c r="G58" s="279"/>
      <c r="H58" s="279"/>
      <c r="I58" s="279"/>
      <c r="J58" s="279"/>
    </row>
    <row r="59" spans="3:10" ht="12" customHeight="1">
      <c r="C59" s="279"/>
      <c r="D59" s="279"/>
      <c r="E59" s="279"/>
      <c r="F59" s="279"/>
      <c r="G59" s="279"/>
      <c r="H59" s="279"/>
      <c r="I59" s="279"/>
      <c r="J59" s="279"/>
    </row>
    <row r="60" spans="3:10" ht="12" customHeight="1">
      <c r="C60" s="279"/>
      <c r="D60" s="279"/>
      <c r="E60" s="279"/>
      <c r="F60" s="279"/>
      <c r="G60" s="279"/>
      <c r="H60" s="279"/>
      <c r="I60" s="279"/>
      <c r="J60" s="279"/>
    </row>
  </sheetData>
  <sheetProtection password="CADB" sheet="1" objects="1" scenarios="1" formatCells="0" formatColumns="0" formatRows="0"/>
  <mergeCells count="17">
    <mergeCell ref="F14:F15"/>
    <mergeCell ref="C4:F4"/>
    <mergeCell ref="D43:E43"/>
    <mergeCell ref="D36:E36"/>
    <mergeCell ref="D37:E37"/>
    <mergeCell ref="C39:E39"/>
    <mergeCell ref="C41:F41"/>
    <mergeCell ref="C6:F6"/>
    <mergeCell ref="C31:E31"/>
    <mergeCell ref="C18:E18"/>
    <mergeCell ref="C20:F20"/>
    <mergeCell ref="C33:F33"/>
    <mergeCell ref="C52:F52"/>
    <mergeCell ref="C46:E46"/>
    <mergeCell ref="C47:E47"/>
    <mergeCell ref="C50:F50"/>
    <mergeCell ref="D35:E35"/>
  </mergeCells>
  <phoneticPr fontId="0" type="noConversion"/>
  <conditionalFormatting sqref="F35:G37 G43 F22:G29 F8:G13 F16:G16 G14:G15">
    <cfRule type="cellIs" dxfId="6" priority="1" stopIfTrue="1" operator="greaterThan">
      <formula>$I8</formula>
    </cfRule>
  </conditionalFormatting>
  <conditionalFormatting sqref="F14:F15">
    <cfRule type="cellIs" dxfId="5" priority="2" stopIfTrue="1" operator="greaterThan">
      <formula>$I14*$I$15</formula>
    </cfRule>
  </conditionalFormatting>
  <printOptions horizontalCentered="1"/>
  <pageMargins left="0.59" right="0.49" top="0.93" bottom="0.98425196850393704" header="0.51181102362204722" footer="0.51181102362204722"/>
  <pageSetup paperSize="9" orientation="portrait" blackAndWhite="1" horizontalDpi="300" verticalDpi="300" r:id="rId1"/>
  <headerFooter alignWithMargins="0">
    <oddFooter>&amp;R&amp;F</oddFooter>
  </headerFooter>
  <ignoredErrors>
    <ignoredError sqref="F37 F29 F23" unlocked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Plan4" enableFormatConditionsCalculation="0">
    <tabColor indexed="18"/>
    <pageSetUpPr autoPageBreaks="0" fitToPage="1"/>
  </sheetPr>
  <dimension ref="B1:J23"/>
  <sheetViews>
    <sheetView showGridLines="0" showZeros="0" zoomScale="110" workbookViewId="0">
      <selection activeCell="D6" sqref="D6"/>
    </sheetView>
  </sheetViews>
  <sheetFormatPr defaultRowHeight="12.75"/>
  <cols>
    <col min="1" max="1" width="3.140625" style="258" customWidth="1"/>
    <col min="2" max="2" width="2.28515625" style="306" customWidth="1"/>
    <col min="3" max="3" width="33.28515625" style="148" customWidth="1"/>
    <col min="4" max="4" width="9.42578125" style="307" customWidth="1"/>
    <col min="5" max="5" width="2.28515625" style="308" customWidth="1"/>
    <col min="6" max="6" width="2.42578125" style="273" customWidth="1"/>
    <col min="7" max="7" width="34.42578125" style="258" customWidth="1"/>
    <col min="8" max="8" width="9.42578125" style="309" customWidth="1"/>
    <col min="9" max="9" width="7.85546875" style="258" customWidth="1"/>
    <col min="10" max="16384" width="9.140625" style="258"/>
  </cols>
  <sheetData>
    <row r="1" spans="2:10" ht="6" customHeight="1"/>
    <row r="2" spans="2:10" ht="14.25" customHeight="1">
      <c r="D2" s="148"/>
      <c r="E2" s="148"/>
      <c r="F2" s="148"/>
      <c r="G2" s="148"/>
      <c r="H2" s="148"/>
      <c r="I2" s="148"/>
      <c r="J2" s="148"/>
    </row>
    <row r="3" spans="2:10" ht="18.75" customHeight="1">
      <c r="B3" s="281"/>
      <c r="C3" s="281"/>
      <c r="D3" s="281"/>
      <c r="F3" s="310"/>
      <c r="G3" s="1107" t="s">
        <v>225</v>
      </c>
      <c r="H3" s="1107"/>
    </row>
    <row r="4" spans="2:10" ht="22.5" customHeight="1" thickBot="1">
      <c r="B4" s="425">
        <v>1</v>
      </c>
      <c r="C4" s="1104" t="s">
        <v>23</v>
      </c>
      <c r="D4" s="1105"/>
      <c r="F4" s="427">
        <v>1</v>
      </c>
      <c r="G4" s="1108" t="s">
        <v>23</v>
      </c>
      <c r="H4" s="1109"/>
    </row>
    <row r="5" spans="2:10" ht="5.25" customHeight="1">
      <c r="B5" s="281"/>
      <c r="C5" s="311"/>
      <c r="D5" s="312"/>
      <c r="F5" s="427"/>
      <c r="G5" s="628"/>
      <c r="H5" s="629"/>
    </row>
    <row r="6" spans="2:10" ht="24.75" customHeight="1" thickBot="1">
      <c r="B6" s="313"/>
      <c r="C6" s="426" t="s">
        <v>24</v>
      </c>
      <c r="D6" s="434">
        <v>0.1462</v>
      </c>
      <c r="E6" s="315"/>
      <c r="F6" s="1106"/>
      <c r="G6" s="630" t="s">
        <v>226</v>
      </c>
      <c r="H6" s="631">
        <v>0.1462</v>
      </c>
    </row>
    <row r="7" spans="2:10" ht="5.25" customHeight="1">
      <c r="B7" s="313"/>
      <c r="C7" s="314"/>
      <c r="D7" s="316"/>
      <c r="F7" s="1106"/>
      <c r="G7" s="632"/>
      <c r="H7" s="629"/>
    </row>
    <row r="8" spans="2:10" ht="19.5" customHeight="1">
      <c r="B8" s="313"/>
      <c r="C8" s="311"/>
      <c r="D8" s="316"/>
      <c r="F8" s="429"/>
      <c r="G8" s="633"/>
      <c r="H8" s="629"/>
    </row>
    <row r="9" spans="2:10" ht="21.75" customHeight="1" thickBot="1">
      <c r="B9" s="425">
        <v>2</v>
      </c>
      <c r="C9" s="1104" t="s">
        <v>59</v>
      </c>
      <c r="D9" s="1105"/>
      <c r="F9" s="427">
        <v>2</v>
      </c>
      <c r="G9" s="1110" t="s">
        <v>59</v>
      </c>
      <c r="H9" s="1111"/>
    </row>
    <row r="10" spans="2:10" ht="5.25" customHeight="1">
      <c r="B10" s="281"/>
      <c r="C10" s="311"/>
      <c r="D10" s="312"/>
      <c r="F10" s="427"/>
      <c r="G10" s="628"/>
      <c r="H10" s="629"/>
    </row>
    <row r="11" spans="2:10" ht="24.75" customHeight="1">
      <c r="B11" s="313"/>
      <c r="C11" s="426" t="s">
        <v>60</v>
      </c>
      <c r="D11" s="433">
        <v>0.05</v>
      </c>
      <c r="E11" s="317"/>
      <c r="F11" s="1106"/>
      <c r="G11" s="634" t="s">
        <v>227</v>
      </c>
      <c r="H11" s="635">
        <v>0.05</v>
      </c>
    </row>
    <row r="12" spans="2:10" ht="24.75" customHeight="1">
      <c r="B12" s="313"/>
      <c r="C12" s="426" t="s">
        <v>25</v>
      </c>
      <c r="D12" s="824">
        <v>6.4999999999999997E-3</v>
      </c>
      <c r="E12" s="317"/>
      <c r="F12" s="1106"/>
      <c r="G12" s="634" t="s">
        <v>26</v>
      </c>
      <c r="H12" s="635">
        <v>6.4999999999999997E-3</v>
      </c>
    </row>
    <row r="13" spans="2:10" ht="24" customHeight="1">
      <c r="B13" s="313"/>
      <c r="C13" s="426" t="s">
        <v>61</v>
      </c>
      <c r="D13" s="824">
        <v>0.03</v>
      </c>
      <c r="E13" s="317"/>
      <c r="F13" s="1106"/>
      <c r="G13" s="634" t="s">
        <v>228</v>
      </c>
      <c r="H13" s="635">
        <v>0.03</v>
      </c>
    </row>
    <row r="14" spans="2:10" ht="24" customHeight="1" thickBot="1">
      <c r="B14" s="313"/>
      <c r="C14" s="426" t="s">
        <v>558</v>
      </c>
      <c r="D14" s="434"/>
      <c r="E14" s="317"/>
      <c r="F14" s="1106"/>
      <c r="G14" s="630" t="s">
        <v>559</v>
      </c>
      <c r="H14" s="631">
        <f>D16</f>
        <v>8.6499999999999994E-2</v>
      </c>
    </row>
    <row r="15" spans="2:10" ht="11.25" customHeight="1">
      <c r="B15" s="313"/>
      <c r="C15" s="314"/>
      <c r="D15" s="316"/>
      <c r="F15" s="1106"/>
      <c r="G15" s="632"/>
      <c r="H15" s="629"/>
    </row>
    <row r="16" spans="2:10" ht="18" customHeight="1" thickBot="1">
      <c r="B16" s="313"/>
      <c r="C16" s="431" t="s">
        <v>109</v>
      </c>
      <c r="D16" s="432">
        <f>IF(D14&gt;0,D14,SUM(D11:D14))</f>
        <v>8.6499999999999994E-2</v>
      </c>
      <c r="E16" s="315"/>
      <c r="F16" s="1106"/>
      <c r="G16" s="430"/>
      <c r="H16" s="428"/>
    </row>
    <row r="17" spans="2:8" ht="5.25" customHeight="1">
      <c r="B17" s="313"/>
      <c r="C17" s="311"/>
      <c r="D17" s="316"/>
      <c r="F17" s="1106"/>
      <c r="G17" s="430"/>
      <c r="H17" s="428"/>
    </row>
    <row r="18" spans="2:8" ht="24.75" customHeight="1">
      <c r="B18" s="313"/>
      <c r="E18" s="315"/>
      <c r="F18" s="1106"/>
      <c r="G18" s="430"/>
      <c r="H18" s="428"/>
    </row>
    <row r="19" spans="2:8" ht="5.25" customHeight="1">
      <c r="F19" s="1106"/>
      <c r="G19" s="430"/>
      <c r="H19" s="428"/>
    </row>
    <row r="20" spans="2:8" ht="15" customHeight="1">
      <c r="F20" s="1106"/>
      <c r="G20" s="430"/>
      <c r="H20" s="428"/>
    </row>
    <row r="21" spans="2:8" ht="5.25" customHeight="1">
      <c r="F21" s="310"/>
    </row>
    <row r="22" spans="2:8" ht="24.75" customHeight="1">
      <c r="F22" s="310"/>
    </row>
    <row r="23" spans="2:8" ht="5.25" customHeight="1"/>
  </sheetData>
  <sheetProtection password="CADB" sheet="1" objects="1" scenarios="1" formatColumns="0" formatRows="0"/>
  <mergeCells count="7">
    <mergeCell ref="C9:D9"/>
    <mergeCell ref="C4:D4"/>
    <mergeCell ref="F11:F20"/>
    <mergeCell ref="G3:H3"/>
    <mergeCell ref="G4:H4"/>
    <mergeCell ref="F6:F7"/>
    <mergeCell ref="G9:H9"/>
  </mergeCells>
  <phoneticPr fontId="0" type="noConversion"/>
  <conditionalFormatting sqref="D11">
    <cfRule type="cellIs" dxfId="4" priority="1" stopIfTrue="1" operator="greaterThan">
      <formula>0.05</formula>
    </cfRule>
  </conditionalFormatting>
  <conditionalFormatting sqref="D6">
    <cfRule type="cellIs" dxfId="3" priority="2" stopIfTrue="1" operator="greaterThan">
      <formula>0.15</formula>
    </cfRule>
  </conditionalFormatting>
  <conditionalFormatting sqref="D14">
    <cfRule type="cellIs" dxfId="2" priority="3" stopIfTrue="1" operator="greaterThan">
      <formula>$H$14</formula>
    </cfRule>
  </conditionalFormatting>
  <conditionalFormatting sqref="D13">
    <cfRule type="cellIs" dxfId="1" priority="4" stopIfTrue="1" operator="greaterThan">
      <formula>0.03</formula>
    </cfRule>
  </conditionalFormatting>
  <conditionalFormatting sqref="D12">
    <cfRule type="cellIs" dxfId="0" priority="5" stopIfTrue="1" operator="greaterThan">
      <formula>0.0065</formula>
    </cfRule>
  </conditionalFormatting>
  <printOptions horizontalCentered="1"/>
  <pageMargins left="0.51181102362204722" right="0.47244094488188981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Footer>&amp;R&amp;F</oddFooter>
  </headerFooter>
  <cellWatches>
    <cellWatch r="D13"/>
  </cellWatches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8"/>
    <pageSetUpPr autoPageBreaks="0"/>
  </sheetPr>
  <dimension ref="B1:K77"/>
  <sheetViews>
    <sheetView showGridLines="0" showZeros="0" zoomScaleNormal="100" workbookViewId="0">
      <pane ySplit="13" topLeftCell="A14" activePane="bottomLeft" state="frozen"/>
      <selection activeCell="B107" sqref="B107:M107"/>
      <selection pane="bottomLeft" activeCell="F16" sqref="F16"/>
    </sheetView>
  </sheetViews>
  <sheetFormatPr defaultRowHeight="12.75"/>
  <cols>
    <col min="1" max="1" width="5.28515625" style="214" customWidth="1"/>
    <col min="2" max="2" width="2.5703125" style="213" customWidth="1"/>
    <col min="3" max="3" width="29.5703125" style="214" customWidth="1"/>
    <col min="4" max="4" width="11" style="215" customWidth="1"/>
    <col min="5" max="5" width="11.5703125" style="214" customWidth="1"/>
    <col min="6" max="6" width="10.42578125" style="214" customWidth="1"/>
    <col min="7" max="7" width="1.85546875" style="214" customWidth="1"/>
    <col min="8" max="8" width="11" style="214" customWidth="1"/>
    <col min="9" max="9" width="2" style="214" customWidth="1"/>
    <col min="10" max="10" width="11" style="214" customWidth="1"/>
    <col min="11" max="11" width="1" style="214" customWidth="1"/>
    <col min="12" max="16384" width="9.140625" style="214"/>
  </cols>
  <sheetData>
    <row r="1" spans="2:11" ht="6" customHeight="1"/>
    <row r="2" spans="2:11" ht="16.5" customHeight="1">
      <c r="C2" s="1112" t="s">
        <v>482</v>
      </c>
      <c r="D2" s="1112"/>
      <c r="E2" s="1112"/>
      <c r="F2" s="1112"/>
      <c r="G2" s="1112"/>
      <c r="H2" s="1112"/>
      <c r="I2" s="1112"/>
      <c r="J2" s="1112"/>
    </row>
    <row r="3" spans="2:11" ht="6" customHeight="1"/>
    <row r="4" spans="2:11" ht="18" customHeight="1" thickBot="1">
      <c r="C4" s="1064" t="s">
        <v>481</v>
      </c>
      <c r="D4" s="1065"/>
      <c r="E4" s="1065"/>
      <c r="F4" s="1065"/>
      <c r="G4" s="1065"/>
      <c r="H4" s="1065"/>
      <c r="I4" s="1065"/>
      <c r="J4" s="1066"/>
    </row>
    <row r="5" spans="2:11" s="217" customFormat="1" ht="7.5" customHeight="1">
      <c r="B5" s="216"/>
      <c r="D5" s="182"/>
      <c r="E5" s="218"/>
      <c r="F5" s="218"/>
      <c r="G5" s="218"/>
      <c r="H5" s="218"/>
    </row>
    <row r="6" spans="2:11" ht="9" customHeight="1">
      <c r="C6" s="1063" t="s">
        <v>462</v>
      </c>
      <c r="D6" s="1071">
        <v>1</v>
      </c>
      <c r="E6" s="1062" t="s">
        <v>463</v>
      </c>
      <c r="F6" s="1063"/>
      <c r="G6" s="1058"/>
      <c r="H6" s="1059"/>
      <c r="I6" s="220"/>
    </row>
    <row r="7" spans="2:11" ht="10.5" customHeight="1" thickBot="1">
      <c r="C7" s="1063"/>
      <c r="D7" s="1072"/>
      <c r="E7" s="1062"/>
      <c r="F7" s="1063"/>
      <c r="G7" s="1060"/>
      <c r="H7" s="1061"/>
      <c r="I7" s="220"/>
      <c r="J7" s="220"/>
    </row>
    <row r="8" spans="2:11" ht="17.25" customHeight="1">
      <c r="D8" s="219"/>
      <c r="E8" s="220"/>
      <c r="F8" s="220"/>
      <c r="G8" s="220"/>
      <c r="H8" s="254" t="s">
        <v>82</v>
      </c>
      <c r="I8" s="221"/>
      <c r="J8" s="1067">
        <f>SUM(J16:J75)</f>
        <v>0</v>
      </c>
      <c r="K8" s="1068"/>
    </row>
    <row r="9" spans="2:11" ht="3.75" customHeight="1" thickBot="1">
      <c r="D9" s="219"/>
      <c r="E9" s="220"/>
      <c r="F9" s="220"/>
      <c r="G9" s="220"/>
      <c r="H9" s="222"/>
      <c r="I9" s="221"/>
      <c r="J9" s="1069"/>
      <c r="K9" s="1070"/>
    </row>
    <row r="10" spans="2:11" s="225" customFormat="1" ht="9.75" customHeight="1">
      <c r="B10" s="224"/>
      <c r="C10" s="255">
        <v>1</v>
      </c>
      <c r="D10" s="255">
        <v>2</v>
      </c>
      <c r="E10" s="255">
        <v>3</v>
      </c>
      <c r="F10" s="255">
        <v>4</v>
      </c>
      <c r="G10" s="256"/>
      <c r="H10" s="255">
        <v>5</v>
      </c>
      <c r="I10" s="256"/>
      <c r="J10" s="255">
        <v>6</v>
      </c>
    </row>
    <row r="11" spans="2:11" s="229" customFormat="1" ht="25.5" customHeight="1" thickBot="1">
      <c r="B11" s="226"/>
      <c r="C11" s="249" t="s">
        <v>87</v>
      </c>
      <c r="D11" s="250" t="s">
        <v>667</v>
      </c>
      <c r="E11" s="249" t="s">
        <v>238</v>
      </c>
      <c r="F11" s="249" t="s">
        <v>80</v>
      </c>
      <c r="G11" s="251"/>
      <c r="H11" s="249" t="s">
        <v>12</v>
      </c>
      <c r="I11" s="252"/>
      <c r="J11" s="253" t="s">
        <v>82</v>
      </c>
    </row>
    <row r="12" spans="2:11" s="229" customFormat="1" ht="2.25" customHeight="1">
      <c r="B12" s="226"/>
      <c r="C12" s="230"/>
      <c r="D12" s="231"/>
      <c r="E12" s="230"/>
      <c r="F12" s="230"/>
      <c r="G12" s="227"/>
      <c r="H12" s="230"/>
      <c r="I12" s="228"/>
      <c r="J12" s="230"/>
    </row>
    <row r="13" spans="2:11" s="229" customFormat="1" ht="2.25" customHeight="1">
      <c r="B13" s="226"/>
      <c r="C13" s="230"/>
      <c r="D13" s="231"/>
      <c r="E13" s="230"/>
      <c r="F13" s="230"/>
      <c r="G13" s="227"/>
      <c r="H13" s="230"/>
      <c r="I13" s="228"/>
      <c r="J13" s="230"/>
    </row>
    <row r="14" spans="2:11" s="229" customFormat="1" ht="5.25" customHeight="1">
      <c r="B14" s="226"/>
      <c r="C14" s="230"/>
      <c r="D14" s="231"/>
      <c r="E14" s="230"/>
      <c r="F14" s="230"/>
      <c r="G14" s="227"/>
      <c r="H14" s="230"/>
      <c r="I14" s="228"/>
      <c r="J14" s="230"/>
    </row>
    <row r="15" spans="2:11" ht="6.75" customHeight="1">
      <c r="C15" s="232"/>
      <c r="D15" s="233"/>
      <c r="E15" s="234"/>
      <c r="F15" s="235"/>
      <c r="G15" s="235"/>
      <c r="H15" s="236"/>
      <c r="I15" s="236"/>
      <c r="J15" s="236"/>
    </row>
    <row r="16" spans="2:11" ht="25.5">
      <c r="B16" s="213">
        <v>1</v>
      </c>
      <c r="C16" s="241" t="s">
        <v>666</v>
      </c>
      <c r="D16" s="242">
        <v>5</v>
      </c>
      <c r="E16" s="242">
        <v>1</v>
      </c>
      <c r="F16" s="243"/>
      <c r="G16" s="237"/>
      <c r="H16" s="614">
        <f t="shared" ref="H16:H47" si="0">F16*E16</f>
        <v>0</v>
      </c>
      <c r="I16" s="615"/>
      <c r="J16" s="614">
        <f t="shared" ref="J16:J47" si="1">IF(D16&gt;0,(H16*D16)/$D$6,0)</f>
        <v>0</v>
      </c>
    </row>
    <row r="17" spans="2:10">
      <c r="B17" s="213">
        <v>2</v>
      </c>
      <c r="C17" s="241"/>
      <c r="D17" s="242"/>
      <c r="E17" s="242"/>
      <c r="F17" s="243"/>
      <c r="G17" s="237"/>
      <c r="H17" s="614">
        <f t="shared" si="0"/>
        <v>0</v>
      </c>
      <c r="I17" s="615"/>
      <c r="J17" s="614">
        <f t="shared" si="1"/>
        <v>0</v>
      </c>
    </row>
    <row r="18" spans="2:10">
      <c r="B18" s="213">
        <v>3</v>
      </c>
      <c r="C18" s="241"/>
      <c r="D18" s="242"/>
      <c r="E18" s="242"/>
      <c r="F18" s="243"/>
      <c r="G18" s="237"/>
      <c r="H18" s="614">
        <f t="shared" si="0"/>
        <v>0</v>
      </c>
      <c r="I18" s="615"/>
      <c r="J18" s="614">
        <f t="shared" si="1"/>
        <v>0</v>
      </c>
    </row>
    <row r="19" spans="2:10" hidden="1">
      <c r="B19" s="213">
        <v>4</v>
      </c>
      <c r="C19" s="241"/>
      <c r="D19" s="242"/>
      <c r="E19" s="242"/>
      <c r="F19" s="243"/>
      <c r="G19" s="237"/>
      <c r="H19" s="614">
        <f t="shared" si="0"/>
        <v>0</v>
      </c>
      <c r="I19" s="615"/>
      <c r="J19" s="614">
        <f t="shared" si="1"/>
        <v>0</v>
      </c>
    </row>
    <row r="20" spans="2:10" hidden="1">
      <c r="B20" s="213">
        <v>5</v>
      </c>
      <c r="C20" s="241"/>
      <c r="D20" s="242"/>
      <c r="E20" s="242"/>
      <c r="F20" s="243"/>
      <c r="G20" s="237"/>
      <c r="H20" s="614">
        <f t="shared" si="0"/>
        <v>0</v>
      </c>
      <c r="I20" s="615"/>
      <c r="J20" s="614">
        <f t="shared" si="1"/>
        <v>0</v>
      </c>
    </row>
    <row r="21" spans="2:10" hidden="1">
      <c r="B21" s="213">
        <v>6</v>
      </c>
      <c r="C21" s="241"/>
      <c r="D21" s="242"/>
      <c r="E21" s="242"/>
      <c r="F21" s="243"/>
      <c r="G21" s="237"/>
      <c r="H21" s="614">
        <f t="shared" si="0"/>
        <v>0</v>
      </c>
      <c r="I21" s="615"/>
      <c r="J21" s="614">
        <f t="shared" si="1"/>
        <v>0</v>
      </c>
    </row>
    <row r="22" spans="2:10" hidden="1">
      <c r="B22" s="213">
        <v>7</v>
      </c>
      <c r="C22" s="241"/>
      <c r="D22" s="242"/>
      <c r="E22" s="242"/>
      <c r="F22" s="243"/>
      <c r="G22" s="237"/>
      <c r="H22" s="614">
        <f t="shared" si="0"/>
        <v>0</v>
      </c>
      <c r="I22" s="615"/>
      <c r="J22" s="614">
        <f t="shared" si="1"/>
        <v>0</v>
      </c>
    </row>
    <row r="23" spans="2:10" hidden="1">
      <c r="B23" s="213">
        <v>8</v>
      </c>
      <c r="C23" s="241"/>
      <c r="D23" s="242"/>
      <c r="E23" s="242"/>
      <c r="F23" s="243"/>
      <c r="G23" s="237"/>
      <c r="H23" s="614">
        <f t="shared" si="0"/>
        <v>0</v>
      </c>
      <c r="I23" s="615"/>
      <c r="J23" s="614">
        <f t="shared" si="1"/>
        <v>0</v>
      </c>
    </row>
    <row r="24" spans="2:10" hidden="1">
      <c r="B24" s="213">
        <v>9</v>
      </c>
      <c r="C24" s="241"/>
      <c r="D24" s="242"/>
      <c r="E24" s="242"/>
      <c r="F24" s="243"/>
      <c r="G24" s="237"/>
      <c r="H24" s="614">
        <f t="shared" si="0"/>
        <v>0</v>
      </c>
      <c r="I24" s="615"/>
      <c r="J24" s="614">
        <f t="shared" si="1"/>
        <v>0</v>
      </c>
    </row>
    <row r="25" spans="2:10" hidden="1">
      <c r="B25" s="213">
        <v>10</v>
      </c>
      <c r="C25" s="241"/>
      <c r="D25" s="242"/>
      <c r="E25" s="242"/>
      <c r="F25" s="243"/>
      <c r="G25" s="237"/>
      <c r="H25" s="614">
        <f t="shared" si="0"/>
        <v>0</v>
      </c>
      <c r="I25" s="615"/>
      <c r="J25" s="614">
        <f t="shared" si="1"/>
        <v>0</v>
      </c>
    </row>
    <row r="26" spans="2:10" hidden="1">
      <c r="B26" s="213">
        <v>11</v>
      </c>
      <c r="C26" s="241"/>
      <c r="D26" s="242"/>
      <c r="E26" s="242"/>
      <c r="F26" s="243"/>
      <c r="G26" s="237"/>
      <c r="H26" s="614">
        <f t="shared" si="0"/>
        <v>0</v>
      </c>
      <c r="I26" s="615"/>
      <c r="J26" s="614">
        <f t="shared" si="1"/>
        <v>0</v>
      </c>
    </row>
    <row r="27" spans="2:10" hidden="1">
      <c r="B27" s="213">
        <v>12</v>
      </c>
      <c r="C27" s="241"/>
      <c r="D27" s="242"/>
      <c r="E27" s="242"/>
      <c r="F27" s="243"/>
      <c r="G27" s="237"/>
      <c r="H27" s="614">
        <f t="shared" si="0"/>
        <v>0</v>
      </c>
      <c r="I27" s="615"/>
      <c r="J27" s="614">
        <f t="shared" si="1"/>
        <v>0</v>
      </c>
    </row>
    <row r="28" spans="2:10" hidden="1">
      <c r="B28" s="213">
        <v>13</v>
      </c>
      <c r="C28" s="241"/>
      <c r="D28" s="242"/>
      <c r="E28" s="242"/>
      <c r="F28" s="243"/>
      <c r="G28" s="237"/>
      <c r="H28" s="614">
        <f t="shared" si="0"/>
        <v>0</v>
      </c>
      <c r="I28" s="615"/>
      <c r="J28" s="614">
        <f t="shared" si="1"/>
        <v>0</v>
      </c>
    </row>
    <row r="29" spans="2:10" hidden="1">
      <c r="B29" s="213">
        <v>14</v>
      </c>
      <c r="C29" s="241"/>
      <c r="D29" s="242"/>
      <c r="E29" s="242"/>
      <c r="F29" s="243"/>
      <c r="G29" s="237"/>
      <c r="H29" s="614">
        <f t="shared" si="0"/>
        <v>0</v>
      </c>
      <c r="I29" s="615"/>
      <c r="J29" s="614">
        <f t="shared" si="1"/>
        <v>0</v>
      </c>
    </row>
    <row r="30" spans="2:10" hidden="1">
      <c r="B30" s="213">
        <v>15</v>
      </c>
      <c r="C30" s="241"/>
      <c r="D30" s="242"/>
      <c r="E30" s="242"/>
      <c r="F30" s="243"/>
      <c r="G30" s="237"/>
      <c r="H30" s="614">
        <f t="shared" si="0"/>
        <v>0</v>
      </c>
      <c r="I30" s="615"/>
      <c r="J30" s="614">
        <f t="shared" si="1"/>
        <v>0</v>
      </c>
    </row>
    <row r="31" spans="2:10" hidden="1">
      <c r="B31" s="213">
        <v>16</v>
      </c>
      <c r="C31" s="241"/>
      <c r="D31" s="242"/>
      <c r="E31" s="242"/>
      <c r="F31" s="243"/>
      <c r="G31" s="237"/>
      <c r="H31" s="614">
        <f t="shared" si="0"/>
        <v>0</v>
      </c>
      <c r="I31" s="615"/>
      <c r="J31" s="614">
        <f t="shared" si="1"/>
        <v>0</v>
      </c>
    </row>
    <row r="32" spans="2:10" hidden="1">
      <c r="B32" s="213">
        <v>17</v>
      </c>
      <c r="C32" s="241"/>
      <c r="D32" s="242"/>
      <c r="E32" s="242"/>
      <c r="F32" s="243"/>
      <c r="G32" s="237"/>
      <c r="H32" s="614">
        <f t="shared" si="0"/>
        <v>0</v>
      </c>
      <c r="I32" s="615"/>
      <c r="J32" s="614">
        <f t="shared" si="1"/>
        <v>0</v>
      </c>
    </row>
    <row r="33" spans="2:10" hidden="1">
      <c r="B33" s="213">
        <v>18</v>
      </c>
      <c r="C33" s="241"/>
      <c r="D33" s="242"/>
      <c r="E33" s="242"/>
      <c r="F33" s="243"/>
      <c r="G33" s="237"/>
      <c r="H33" s="614">
        <f t="shared" si="0"/>
        <v>0</v>
      </c>
      <c r="I33" s="615"/>
      <c r="J33" s="614">
        <f t="shared" si="1"/>
        <v>0</v>
      </c>
    </row>
    <row r="34" spans="2:10" hidden="1">
      <c r="B34" s="213">
        <v>19</v>
      </c>
      <c r="C34" s="241"/>
      <c r="D34" s="244"/>
      <c r="E34" s="244"/>
      <c r="F34" s="245"/>
      <c r="G34" s="237"/>
      <c r="H34" s="614">
        <f t="shared" si="0"/>
        <v>0</v>
      </c>
      <c r="I34" s="615"/>
      <c r="J34" s="614">
        <f t="shared" si="1"/>
        <v>0</v>
      </c>
    </row>
    <row r="35" spans="2:10" hidden="1">
      <c r="B35" s="213">
        <v>20</v>
      </c>
      <c r="C35" s="241"/>
      <c r="D35" s="244"/>
      <c r="E35" s="244"/>
      <c r="F35" s="245"/>
      <c r="G35" s="237"/>
      <c r="H35" s="614">
        <f t="shared" si="0"/>
        <v>0</v>
      </c>
      <c r="I35" s="615"/>
      <c r="J35" s="614">
        <f t="shared" si="1"/>
        <v>0</v>
      </c>
    </row>
    <row r="36" spans="2:10" hidden="1">
      <c r="B36" s="213">
        <v>21</v>
      </c>
      <c r="C36" s="241"/>
      <c r="D36" s="244"/>
      <c r="E36" s="244"/>
      <c r="F36" s="245"/>
      <c r="G36" s="237"/>
      <c r="H36" s="614">
        <f t="shared" si="0"/>
        <v>0</v>
      </c>
      <c r="I36" s="615"/>
      <c r="J36" s="614">
        <f t="shared" si="1"/>
        <v>0</v>
      </c>
    </row>
    <row r="37" spans="2:10" hidden="1">
      <c r="B37" s="213">
        <v>22</v>
      </c>
      <c r="C37" s="241"/>
      <c r="D37" s="244"/>
      <c r="E37" s="244"/>
      <c r="F37" s="245"/>
      <c r="G37" s="237"/>
      <c r="H37" s="614">
        <f t="shared" si="0"/>
        <v>0</v>
      </c>
      <c r="I37" s="615"/>
      <c r="J37" s="614">
        <f t="shared" si="1"/>
        <v>0</v>
      </c>
    </row>
    <row r="38" spans="2:10" hidden="1">
      <c r="B38" s="213">
        <v>23</v>
      </c>
      <c r="C38" s="241"/>
      <c r="D38" s="244"/>
      <c r="E38" s="244"/>
      <c r="F38" s="245"/>
      <c r="G38" s="237"/>
      <c r="H38" s="614">
        <f t="shared" si="0"/>
        <v>0</v>
      </c>
      <c r="I38" s="615"/>
      <c r="J38" s="614">
        <f t="shared" si="1"/>
        <v>0</v>
      </c>
    </row>
    <row r="39" spans="2:10" hidden="1">
      <c r="B39" s="213">
        <v>24</v>
      </c>
      <c r="C39" s="241"/>
      <c r="D39" s="244"/>
      <c r="E39" s="244"/>
      <c r="F39" s="245"/>
      <c r="G39" s="237"/>
      <c r="H39" s="614">
        <f t="shared" si="0"/>
        <v>0</v>
      </c>
      <c r="I39" s="615"/>
      <c r="J39" s="614">
        <f t="shared" si="1"/>
        <v>0</v>
      </c>
    </row>
    <row r="40" spans="2:10" hidden="1">
      <c r="B40" s="213">
        <v>25</v>
      </c>
      <c r="C40" s="241"/>
      <c r="D40" s="244"/>
      <c r="E40" s="244"/>
      <c r="F40" s="245"/>
      <c r="G40" s="237"/>
      <c r="H40" s="614">
        <f t="shared" si="0"/>
        <v>0</v>
      </c>
      <c r="I40" s="615"/>
      <c r="J40" s="614">
        <f t="shared" si="1"/>
        <v>0</v>
      </c>
    </row>
    <row r="41" spans="2:10" hidden="1">
      <c r="B41" s="213">
        <v>26</v>
      </c>
      <c r="C41" s="241"/>
      <c r="D41" s="244"/>
      <c r="E41" s="244"/>
      <c r="F41" s="245"/>
      <c r="G41" s="237"/>
      <c r="H41" s="614">
        <f t="shared" si="0"/>
        <v>0</v>
      </c>
      <c r="I41" s="615"/>
      <c r="J41" s="614">
        <f t="shared" si="1"/>
        <v>0</v>
      </c>
    </row>
    <row r="42" spans="2:10" hidden="1">
      <c r="B42" s="213">
        <v>27</v>
      </c>
      <c r="C42" s="241"/>
      <c r="D42" s="244"/>
      <c r="E42" s="244"/>
      <c r="F42" s="245"/>
      <c r="G42" s="237"/>
      <c r="H42" s="614">
        <f t="shared" si="0"/>
        <v>0</v>
      </c>
      <c r="I42" s="615"/>
      <c r="J42" s="614">
        <f t="shared" si="1"/>
        <v>0</v>
      </c>
    </row>
    <row r="43" spans="2:10" hidden="1">
      <c r="B43" s="213">
        <v>28</v>
      </c>
      <c r="C43" s="241"/>
      <c r="D43" s="244"/>
      <c r="E43" s="244"/>
      <c r="F43" s="245"/>
      <c r="G43" s="237"/>
      <c r="H43" s="614">
        <f t="shared" si="0"/>
        <v>0</v>
      </c>
      <c r="I43" s="615"/>
      <c r="J43" s="614">
        <f t="shared" si="1"/>
        <v>0</v>
      </c>
    </row>
    <row r="44" spans="2:10" hidden="1">
      <c r="B44" s="213">
        <v>29</v>
      </c>
      <c r="C44" s="241"/>
      <c r="D44" s="244"/>
      <c r="E44" s="244"/>
      <c r="F44" s="245"/>
      <c r="G44" s="237"/>
      <c r="H44" s="614">
        <f t="shared" si="0"/>
        <v>0</v>
      </c>
      <c r="I44" s="615"/>
      <c r="J44" s="614">
        <f t="shared" si="1"/>
        <v>0</v>
      </c>
    </row>
    <row r="45" spans="2:10" hidden="1">
      <c r="B45" s="213">
        <v>30</v>
      </c>
      <c r="C45" s="241"/>
      <c r="D45" s="244"/>
      <c r="E45" s="244"/>
      <c r="F45" s="245"/>
      <c r="G45" s="237"/>
      <c r="H45" s="614">
        <f t="shared" si="0"/>
        <v>0</v>
      </c>
      <c r="I45" s="615"/>
      <c r="J45" s="614">
        <f t="shared" si="1"/>
        <v>0</v>
      </c>
    </row>
    <row r="46" spans="2:10" hidden="1">
      <c r="B46" s="213">
        <v>31</v>
      </c>
      <c r="C46" s="241"/>
      <c r="D46" s="244"/>
      <c r="E46" s="244"/>
      <c r="F46" s="245"/>
      <c r="G46" s="237"/>
      <c r="H46" s="614">
        <f t="shared" si="0"/>
        <v>0</v>
      </c>
      <c r="I46" s="615"/>
      <c r="J46" s="614">
        <f t="shared" si="1"/>
        <v>0</v>
      </c>
    </row>
    <row r="47" spans="2:10" hidden="1">
      <c r="B47" s="213">
        <v>32</v>
      </c>
      <c r="C47" s="241"/>
      <c r="D47" s="244"/>
      <c r="E47" s="244"/>
      <c r="F47" s="245"/>
      <c r="G47" s="237"/>
      <c r="H47" s="614">
        <f t="shared" si="0"/>
        <v>0</v>
      </c>
      <c r="I47" s="615"/>
      <c r="J47" s="614">
        <f t="shared" si="1"/>
        <v>0</v>
      </c>
    </row>
    <row r="48" spans="2:10" hidden="1">
      <c r="B48" s="213">
        <v>33</v>
      </c>
      <c r="C48" s="241"/>
      <c r="D48" s="244"/>
      <c r="E48" s="244"/>
      <c r="F48" s="245"/>
      <c r="G48" s="237"/>
      <c r="H48" s="614">
        <f t="shared" ref="H48:H75" si="2">F48*E48</f>
        <v>0</v>
      </c>
      <c r="I48" s="615"/>
      <c r="J48" s="614">
        <f t="shared" ref="J48:J75" si="3">IF(D48&gt;0,(H48*D48)/$D$6,0)</f>
        <v>0</v>
      </c>
    </row>
    <row r="49" spans="2:10" hidden="1">
      <c r="B49" s="213">
        <v>34</v>
      </c>
      <c r="C49" s="241"/>
      <c r="D49" s="244"/>
      <c r="E49" s="244"/>
      <c r="F49" s="245"/>
      <c r="G49" s="237"/>
      <c r="H49" s="614">
        <f t="shared" si="2"/>
        <v>0</v>
      </c>
      <c r="I49" s="615"/>
      <c r="J49" s="614">
        <f t="shared" si="3"/>
        <v>0</v>
      </c>
    </row>
    <row r="50" spans="2:10" hidden="1">
      <c r="B50" s="213">
        <v>35</v>
      </c>
      <c r="C50" s="241"/>
      <c r="D50" s="244"/>
      <c r="E50" s="244"/>
      <c r="F50" s="245"/>
      <c r="G50" s="237"/>
      <c r="H50" s="614">
        <f t="shared" si="2"/>
        <v>0</v>
      </c>
      <c r="I50" s="615"/>
      <c r="J50" s="614">
        <f t="shared" si="3"/>
        <v>0</v>
      </c>
    </row>
    <row r="51" spans="2:10" hidden="1">
      <c r="B51" s="213">
        <v>36</v>
      </c>
      <c r="C51" s="241"/>
      <c r="D51" s="244"/>
      <c r="E51" s="244"/>
      <c r="F51" s="245"/>
      <c r="G51" s="237"/>
      <c r="H51" s="614">
        <f t="shared" si="2"/>
        <v>0</v>
      </c>
      <c r="I51" s="615"/>
      <c r="J51" s="614">
        <f t="shared" si="3"/>
        <v>0</v>
      </c>
    </row>
    <row r="52" spans="2:10" hidden="1">
      <c r="B52" s="213">
        <v>37</v>
      </c>
      <c r="C52" s="241"/>
      <c r="D52" s="244"/>
      <c r="E52" s="244"/>
      <c r="F52" s="245"/>
      <c r="G52" s="237"/>
      <c r="H52" s="614">
        <f t="shared" si="2"/>
        <v>0</v>
      </c>
      <c r="I52" s="615"/>
      <c r="J52" s="614">
        <f t="shared" si="3"/>
        <v>0</v>
      </c>
    </row>
    <row r="53" spans="2:10" hidden="1">
      <c r="B53" s="213">
        <v>38</v>
      </c>
      <c r="C53" s="241"/>
      <c r="D53" s="244"/>
      <c r="E53" s="244"/>
      <c r="F53" s="245"/>
      <c r="G53" s="237"/>
      <c r="H53" s="614">
        <f t="shared" si="2"/>
        <v>0</v>
      </c>
      <c r="I53" s="615"/>
      <c r="J53" s="614">
        <f t="shared" si="3"/>
        <v>0</v>
      </c>
    </row>
    <row r="54" spans="2:10" hidden="1">
      <c r="B54" s="213">
        <v>39</v>
      </c>
      <c r="C54" s="241"/>
      <c r="D54" s="244"/>
      <c r="E54" s="244"/>
      <c r="F54" s="245"/>
      <c r="G54" s="237"/>
      <c r="H54" s="614">
        <f t="shared" si="2"/>
        <v>0</v>
      </c>
      <c r="I54" s="615"/>
      <c r="J54" s="614">
        <f t="shared" si="3"/>
        <v>0</v>
      </c>
    </row>
    <row r="55" spans="2:10" hidden="1">
      <c r="B55" s="213">
        <v>40</v>
      </c>
      <c r="C55" s="241"/>
      <c r="D55" s="244"/>
      <c r="E55" s="244"/>
      <c r="F55" s="245"/>
      <c r="G55" s="237"/>
      <c r="H55" s="614">
        <f t="shared" si="2"/>
        <v>0</v>
      </c>
      <c r="I55" s="615"/>
      <c r="J55" s="614">
        <f t="shared" si="3"/>
        <v>0</v>
      </c>
    </row>
    <row r="56" spans="2:10" hidden="1">
      <c r="B56" s="213">
        <v>41</v>
      </c>
      <c r="C56" s="241"/>
      <c r="D56" s="244"/>
      <c r="E56" s="244"/>
      <c r="F56" s="245"/>
      <c r="G56" s="237"/>
      <c r="H56" s="614">
        <f t="shared" si="2"/>
        <v>0</v>
      </c>
      <c r="I56" s="615"/>
      <c r="J56" s="614">
        <f t="shared" si="3"/>
        <v>0</v>
      </c>
    </row>
    <row r="57" spans="2:10" hidden="1">
      <c r="B57" s="213">
        <v>42</v>
      </c>
      <c r="C57" s="241"/>
      <c r="D57" s="244"/>
      <c r="E57" s="244"/>
      <c r="F57" s="245"/>
      <c r="G57" s="237"/>
      <c r="H57" s="614">
        <f t="shared" si="2"/>
        <v>0</v>
      </c>
      <c r="I57" s="615"/>
      <c r="J57" s="614">
        <f t="shared" si="3"/>
        <v>0</v>
      </c>
    </row>
    <row r="58" spans="2:10" hidden="1">
      <c r="B58" s="213">
        <v>43</v>
      </c>
      <c r="C58" s="241"/>
      <c r="D58" s="244"/>
      <c r="E58" s="244"/>
      <c r="F58" s="245"/>
      <c r="G58" s="237"/>
      <c r="H58" s="614">
        <f t="shared" si="2"/>
        <v>0</v>
      </c>
      <c r="I58" s="615"/>
      <c r="J58" s="614">
        <f t="shared" si="3"/>
        <v>0</v>
      </c>
    </row>
    <row r="59" spans="2:10" hidden="1">
      <c r="B59" s="213">
        <v>44</v>
      </c>
      <c r="C59" s="241"/>
      <c r="D59" s="244"/>
      <c r="E59" s="244"/>
      <c r="F59" s="245"/>
      <c r="G59" s="237"/>
      <c r="H59" s="614">
        <f t="shared" si="2"/>
        <v>0</v>
      </c>
      <c r="I59" s="615"/>
      <c r="J59" s="614">
        <f t="shared" si="3"/>
        <v>0</v>
      </c>
    </row>
    <row r="60" spans="2:10" hidden="1">
      <c r="B60" s="213">
        <v>45</v>
      </c>
      <c r="C60" s="241"/>
      <c r="D60" s="244"/>
      <c r="E60" s="244"/>
      <c r="F60" s="245"/>
      <c r="G60" s="237"/>
      <c r="H60" s="614">
        <f t="shared" si="2"/>
        <v>0</v>
      </c>
      <c r="I60" s="615"/>
      <c r="J60" s="614">
        <f t="shared" si="3"/>
        <v>0</v>
      </c>
    </row>
    <row r="61" spans="2:10" hidden="1">
      <c r="B61" s="213">
        <v>46</v>
      </c>
      <c r="C61" s="241"/>
      <c r="D61" s="244"/>
      <c r="E61" s="244"/>
      <c r="F61" s="245"/>
      <c r="G61" s="237"/>
      <c r="H61" s="614">
        <f t="shared" si="2"/>
        <v>0</v>
      </c>
      <c r="I61" s="615"/>
      <c r="J61" s="614">
        <f t="shared" si="3"/>
        <v>0</v>
      </c>
    </row>
    <row r="62" spans="2:10" hidden="1">
      <c r="B62" s="213">
        <v>47</v>
      </c>
      <c r="C62" s="241"/>
      <c r="D62" s="244"/>
      <c r="E62" s="244"/>
      <c r="F62" s="245"/>
      <c r="G62" s="237"/>
      <c r="H62" s="614">
        <f t="shared" si="2"/>
        <v>0</v>
      </c>
      <c r="I62" s="615"/>
      <c r="J62" s="614">
        <f t="shared" si="3"/>
        <v>0</v>
      </c>
    </row>
    <row r="63" spans="2:10" hidden="1">
      <c r="B63" s="213">
        <v>48</v>
      </c>
      <c r="C63" s="241"/>
      <c r="D63" s="244"/>
      <c r="E63" s="244"/>
      <c r="F63" s="245"/>
      <c r="G63" s="237"/>
      <c r="H63" s="614">
        <f t="shared" si="2"/>
        <v>0</v>
      </c>
      <c r="I63" s="615"/>
      <c r="J63" s="614">
        <f t="shared" si="3"/>
        <v>0</v>
      </c>
    </row>
    <row r="64" spans="2:10" hidden="1">
      <c r="B64" s="213">
        <v>49</v>
      </c>
      <c r="C64" s="241"/>
      <c r="D64" s="244"/>
      <c r="E64" s="244"/>
      <c r="F64" s="245"/>
      <c r="G64" s="237"/>
      <c r="H64" s="614">
        <f t="shared" si="2"/>
        <v>0</v>
      </c>
      <c r="I64" s="615"/>
      <c r="J64" s="614">
        <f t="shared" si="3"/>
        <v>0</v>
      </c>
    </row>
    <row r="65" spans="2:10" hidden="1">
      <c r="B65" s="213">
        <v>50</v>
      </c>
      <c r="C65" s="241"/>
      <c r="D65" s="244"/>
      <c r="E65" s="244"/>
      <c r="F65" s="245"/>
      <c r="G65" s="237"/>
      <c r="H65" s="614">
        <f t="shared" si="2"/>
        <v>0</v>
      </c>
      <c r="I65" s="615"/>
      <c r="J65" s="614">
        <f t="shared" si="3"/>
        <v>0</v>
      </c>
    </row>
    <row r="66" spans="2:10" hidden="1">
      <c r="B66" s="213">
        <v>51</v>
      </c>
      <c r="C66" s="241"/>
      <c r="D66" s="244"/>
      <c r="E66" s="244"/>
      <c r="F66" s="245"/>
      <c r="G66" s="237"/>
      <c r="H66" s="614">
        <f t="shared" si="2"/>
        <v>0</v>
      </c>
      <c r="I66" s="615"/>
      <c r="J66" s="614">
        <f t="shared" si="3"/>
        <v>0</v>
      </c>
    </row>
    <row r="67" spans="2:10" hidden="1">
      <c r="B67" s="213">
        <v>52</v>
      </c>
      <c r="C67" s="241"/>
      <c r="D67" s="244"/>
      <c r="E67" s="244"/>
      <c r="F67" s="245"/>
      <c r="G67" s="237"/>
      <c r="H67" s="614">
        <f t="shared" si="2"/>
        <v>0</v>
      </c>
      <c r="I67" s="615"/>
      <c r="J67" s="614">
        <f t="shared" si="3"/>
        <v>0</v>
      </c>
    </row>
    <row r="68" spans="2:10" hidden="1">
      <c r="B68" s="213">
        <v>53</v>
      </c>
      <c r="C68" s="241"/>
      <c r="D68" s="244"/>
      <c r="E68" s="244"/>
      <c r="F68" s="245"/>
      <c r="G68" s="237"/>
      <c r="H68" s="614">
        <f t="shared" si="2"/>
        <v>0</v>
      </c>
      <c r="I68" s="615"/>
      <c r="J68" s="614">
        <f t="shared" si="3"/>
        <v>0</v>
      </c>
    </row>
    <row r="69" spans="2:10" hidden="1">
      <c r="B69" s="213">
        <v>54</v>
      </c>
      <c r="C69" s="241"/>
      <c r="D69" s="244"/>
      <c r="E69" s="244"/>
      <c r="F69" s="245"/>
      <c r="G69" s="237"/>
      <c r="H69" s="614">
        <f t="shared" si="2"/>
        <v>0</v>
      </c>
      <c r="I69" s="615"/>
      <c r="J69" s="614">
        <f t="shared" si="3"/>
        <v>0</v>
      </c>
    </row>
    <row r="70" spans="2:10" hidden="1">
      <c r="B70" s="213">
        <v>55</v>
      </c>
      <c r="C70" s="241"/>
      <c r="D70" s="244"/>
      <c r="E70" s="244"/>
      <c r="F70" s="245"/>
      <c r="G70" s="237"/>
      <c r="H70" s="614">
        <f t="shared" si="2"/>
        <v>0</v>
      </c>
      <c r="I70" s="615"/>
      <c r="J70" s="614">
        <f t="shared" si="3"/>
        <v>0</v>
      </c>
    </row>
    <row r="71" spans="2:10" hidden="1">
      <c r="B71" s="213">
        <v>56</v>
      </c>
      <c r="C71" s="241"/>
      <c r="D71" s="244"/>
      <c r="E71" s="244"/>
      <c r="F71" s="245"/>
      <c r="G71" s="237"/>
      <c r="H71" s="614">
        <f t="shared" si="2"/>
        <v>0</v>
      </c>
      <c r="I71" s="615"/>
      <c r="J71" s="614">
        <f t="shared" si="3"/>
        <v>0</v>
      </c>
    </row>
    <row r="72" spans="2:10" hidden="1">
      <c r="B72" s="213">
        <v>57</v>
      </c>
      <c r="C72" s="241"/>
      <c r="D72" s="244"/>
      <c r="E72" s="244"/>
      <c r="F72" s="245"/>
      <c r="G72" s="237"/>
      <c r="H72" s="614">
        <f t="shared" si="2"/>
        <v>0</v>
      </c>
      <c r="I72" s="615"/>
      <c r="J72" s="614">
        <f t="shared" si="3"/>
        <v>0</v>
      </c>
    </row>
    <row r="73" spans="2:10" hidden="1">
      <c r="B73" s="213">
        <v>58</v>
      </c>
      <c r="C73" s="241"/>
      <c r="D73" s="244"/>
      <c r="E73" s="244"/>
      <c r="F73" s="245"/>
      <c r="G73" s="237"/>
      <c r="H73" s="614">
        <f t="shared" si="2"/>
        <v>0</v>
      </c>
      <c r="I73" s="615"/>
      <c r="J73" s="614">
        <f t="shared" si="3"/>
        <v>0</v>
      </c>
    </row>
    <row r="74" spans="2:10" hidden="1">
      <c r="B74" s="213">
        <v>59</v>
      </c>
      <c r="C74" s="241"/>
      <c r="D74" s="244"/>
      <c r="E74" s="244"/>
      <c r="F74" s="245"/>
      <c r="G74" s="237"/>
      <c r="H74" s="614">
        <f t="shared" si="2"/>
        <v>0</v>
      </c>
      <c r="I74" s="615"/>
      <c r="J74" s="614">
        <f t="shared" si="3"/>
        <v>0</v>
      </c>
    </row>
    <row r="75" spans="2:10" ht="13.5" hidden="1" thickBot="1">
      <c r="B75" s="213">
        <v>60</v>
      </c>
      <c r="C75" s="246"/>
      <c r="D75" s="247"/>
      <c r="E75" s="247"/>
      <c r="F75" s="248"/>
      <c r="G75" s="237"/>
      <c r="H75" s="616">
        <f t="shared" si="2"/>
        <v>0</v>
      </c>
      <c r="I75" s="615"/>
      <c r="J75" s="614">
        <f t="shared" si="3"/>
        <v>0</v>
      </c>
    </row>
    <row r="76" spans="2:10">
      <c r="C76" s="238"/>
      <c r="D76" s="239"/>
      <c r="E76" s="239"/>
      <c r="F76" s="240"/>
      <c r="G76" s="237"/>
      <c r="H76" s="237"/>
      <c r="I76" s="237"/>
      <c r="J76" s="237"/>
    </row>
    <row r="77" spans="2:10" ht="36.75" customHeight="1">
      <c r="C77" s="1113"/>
      <c r="D77" s="1113"/>
      <c r="E77" s="1113"/>
      <c r="F77" s="1113"/>
      <c r="G77" s="1113"/>
      <c r="H77" s="1113"/>
      <c r="I77" s="1113"/>
      <c r="J77" s="1113"/>
    </row>
  </sheetData>
  <sheetProtection formatColumns="0" formatRows="0"/>
  <mergeCells count="8">
    <mergeCell ref="C2:J2"/>
    <mergeCell ref="C77:J77"/>
    <mergeCell ref="G6:H7"/>
    <mergeCell ref="E6:F7"/>
    <mergeCell ref="C4:J4"/>
    <mergeCell ref="J8:K9"/>
    <mergeCell ref="D6:D7"/>
    <mergeCell ref="C6:C7"/>
  </mergeCells>
  <phoneticPr fontId="0" type="noConversion"/>
  <printOptions horizontalCentered="1"/>
  <pageMargins left="0.32" right="0.24" top="0.98425196850393704" bottom="0.98425196850393704" header="0.51181102362204722" footer="0.51181102362204722"/>
  <pageSetup paperSize="9" scale="90" orientation="portrait" blackAndWhite="1" horizontalDpi="300" verticalDpi="300" r:id="rId1"/>
  <headerFooter alignWithMargins="0">
    <oddFooter>&amp;R&amp;F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Plan2" enableFormatConditionsCalculation="0">
    <tabColor indexed="32"/>
    <pageSetUpPr autoPageBreaks="0"/>
  </sheetPr>
  <dimension ref="B1:Q97"/>
  <sheetViews>
    <sheetView showGridLines="0" showZeros="0" topLeftCell="A37" workbookViewId="0">
      <selection activeCell="H17" sqref="H17"/>
    </sheetView>
  </sheetViews>
  <sheetFormatPr defaultRowHeight="12.75"/>
  <cols>
    <col min="1" max="1" width="2.7109375" style="273" customWidth="1"/>
    <col min="2" max="2" width="0.28515625" style="152" customWidth="1"/>
    <col min="3" max="3" width="9.5703125" style="273" customWidth="1"/>
    <col min="4" max="4" width="9.42578125" style="273" customWidth="1"/>
    <col min="5" max="5" width="2.140625" style="273" customWidth="1"/>
    <col min="6" max="6" width="10.42578125" style="273" customWidth="1"/>
    <col min="7" max="7" width="0.85546875" style="273" customWidth="1"/>
    <col min="8" max="8" width="21.140625" style="273" customWidth="1"/>
    <col min="9" max="9" width="1" style="273" customWidth="1"/>
    <col min="10" max="10" width="11.42578125" style="273" customWidth="1"/>
    <col min="11" max="11" width="2.140625" style="273" customWidth="1"/>
    <col min="12" max="12" width="13.5703125" style="273" customWidth="1"/>
    <col min="13" max="13" width="1.140625" style="273" customWidth="1"/>
    <col min="14" max="14" width="10.42578125" style="273" customWidth="1"/>
    <col min="15" max="15" width="1.140625" style="273" customWidth="1"/>
    <col min="16" max="16" width="13.140625" style="273" customWidth="1"/>
    <col min="17" max="17" width="1.85546875" style="273" customWidth="1"/>
    <col min="18" max="16384" width="9.140625" style="273"/>
  </cols>
  <sheetData>
    <row r="1" spans="2:16" ht="7.5" customHeight="1"/>
    <row r="2" spans="2:16" ht="16.5" customHeight="1"/>
    <row r="4" spans="2:16" ht="33.75" customHeight="1" thickBot="1">
      <c r="C4" s="1125" t="str">
        <f>Dados!C12</f>
        <v>Planilha de Custos e Formação de Preços de Serviços Contínuos de Vigilância Armada Motorizada para o SBGL</v>
      </c>
      <c r="D4" s="1126"/>
      <c r="E4" s="1126"/>
      <c r="F4" s="1126"/>
      <c r="G4" s="1126"/>
      <c r="H4" s="1126"/>
      <c r="I4" s="1126"/>
      <c r="J4" s="1126"/>
      <c r="K4" s="1126"/>
      <c r="L4" s="1126"/>
      <c r="M4" s="1126"/>
      <c r="N4" s="1126"/>
      <c r="O4" s="1126"/>
      <c r="P4" s="1127"/>
    </row>
    <row r="5" spans="2:16" ht="6" customHeight="1"/>
    <row r="6" spans="2:16" ht="6.75" customHeight="1"/>
    <row r="7" spans="2:16" ht="28.5" customHeight="1" thickBot="1">
      <c r="C7" s="1128" t="str">
        <f>Dados!C6</f>
        <v>AEROPORTO INTERNACIONAL DO RIO DE JANEIRO/GALEÃO - ANTONIO CARLOS JOBIM</v>
      </c>
      <c r="D7" s="1129"/>
      <c r="E7" s="1129"/>
      <c r="F7" s="1129"/>
      <c r="G7" s="1129"/>
      <c r="H7" s="1129"/>
      <c r="I7" s="1129"/>
      <c r="J7" s="1129"/>
      <c r="K7" s="1129"/>
      <c r="L7" s="1129"/>
      <c r="M7" s="1129"/>
      <c r="N7" s="1129"/>
      <c r="O7" s="1129"/>
      <c r="P7" s="1130"/>
    </row>
    <row r="8" spans="2:16" s="282" customFormat="1" ht="5.25" customHeight="1">
      <c r="B8" s="280"/>
      <c r="C8" s="221"/>
      <c r="D8" s="221"/>
      <c r="E8" s="221"/>
      <c r="F8" s="221"/>
      <c r="G8" s="221"/>
      <c r="H8" s="221"/>
      <c r="I8" s="221"/>
      <c r="J8" s="281"/>
      <c r="K8" s="281"/>
      <c r="L8" s="221"/>
      <c r="M8" s="221"/>
      <c r="N8" s="221"/>
      <c r="O8" s="221"/>
      <c r="P8" s="221"/>
    </row>
    <row r="9" spans="2:16" ht="16.5" customHeight="1" thickBot="1">
      <c r="C9" s="1131" t="s">
        <v>43</v>
      </c>
      <c r="D9" s="1132"/>
      <c r="E9" s="1132"/>
      <c r="F9" s="1132"/>
      <c r="G9" s="1132"/>
      <c r="H9" s="1132"/>
      <c r="I9" s="1132"/>
      <c r="J9" s="1132"/>
      <c r="K9" s="1132"/>
      <c r="L9" s="1132"/>
      <c r="M9" s="1132"/>
      <c r="N9" s="1132"/>
      <c r="O9" s="1132"/>
      <c r="P9" s="1133"/>
    </row>
    <row r="10" spans="2:16" ht="5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</row>
    <row r="11" spans="2:16">
      <c r="C11" s="1134" t="s">
        <v>40</v>
      </c>
      <c r="D11" s="1134"/>
      <c r="E11" s="271"/>
      <c r="F11" s="271"/>
      <c r="G11" s="271"/>
      <c r="H11" s="271"/>
      <c r="I11" s="271"/>
    </row>
    <row r="12" spans="2:16" ht="5.25" customHeight="1">
      <c r="C12" s="271"/>
      <c r="O12" s="157"/>
      <c r="P12" s="157"/>
    </row>
    <row r="13" spans="2:16" ht="59.25" customHeight="1" thickBot="1">
      <c r="C13" s="1135" t="s">
        <v>396</v>
      </c>
      <c r="D13" s="1136"/>
      <c r="E13" s="467"/>
      <c r="F13" s="466" t="s">
        <v>39</v>
      </c>
      <c r="G13" s="467"/>
      <c r="H13" s="466" t="s">
        <v>612</v>
      </c>
      <c r="I13" s="467"/>
      <c r="J13" s="466" t="s">
        <v>599</v>
      </c>
      <c r="K13" s="467"/>
      <c r="L13" s="466" t="s">
        <v>600</v>
      </c>
      <c r="M13" s="467"/>
      <c r="N13" s="466" t="s">
        <v>601</v>
      </c>
      <c r="O13" s="467"/>
      <c r="P13" s="465" t="s">
        <v>188</v>
      </c>
    </row>
    <row r="14" spans="2:16" ht="13.5" customHeight="1">
      <c r="C14" s="271"/>
      <c r="F14" s="271"/>
      <c r="G14" s="271"/>
      <c r="H14" s="284"/>
      <c r="I14" s="284"/>
      <c r="J14" s="285"/>
      <c r="K14" s="285"/>
      <c r="L14" s="286"/>
      <c r="M14" s="286"/>
      <c r="N14" s="284"/>
    </row>
    <row r="15" spans="2:16" s="287" customFormat="1" ht="23.25" customHeight="1" thickBot="1">
      <c r="B15" s="152"/>
      <c r="C15" s="1114">
        <f>Efetivo!E59</f>
        <v>20</v>
      </c>
      <c r="D15" s="1115"/>
      <c r="F15" s="468">
        <f>Efetivo!S59</f>
        <v>0</v>
      </c>
      <c r="G15" s="288"/>
      <c r="H15" s="468">
        <f>Efetivo!AC59</f>
        <v>0</v>
      </c>
      <c r="I15" s="289"/>
      <c r="J15" s="469">
        <f>Efetivo!AK59</f>
        <v>0</v>
      </c>
      <c r="K15" s="290"/>
      <c r="L15" s="470">
        <f>SUM(Efetivo!AE59+Efetivo!AQ59+Efetivo!AO59+Efetivo!AY59+Efetivo!BC59)</f>
        <v>0</v>
      </c>
      <c r="M15" s="291"/>
      <c r="N15" s="468">
        <f>Efetivo!AW59+Efetivo!AY59</f>
        <v>0</v>
      </c>
      <c r="P15" s="468">
        <f>TRUNC((SUM(F15,H15,J15,L15,N15)),2)</f>
        <v>0</v>
      </c>
    </row>
    <row r="16" spans="2:16" ht="7.5" customHeight="1">
      <c r="D16" s="292"/>
      <c r="F16" s="265"/>
      <c r="G16" s="265"/>
      <c r="H16" s="293"/>
      <c r="I16" s="223"/>
      <c r="J16" s="294"/>
      <c r="K16" s="294"/>
      <c r="L16" s="286"/>
      <c r="M16" s="286"/>
      <c r="N16" s="284"/>
      <c r="P16" s="284"/>
    </row>
    <row r="17" spans="3:16" ht="22.5" customHeight="1" thickBot="1">
      <c r="C17" s="1114">
        <f>Consolidado_Geral!D61</f>
        <v>0</v>
      </c>
      <c r="D17" s="1115"/>
      <c r="F17" s="439" t="s">
        <v>512</v>
      </c>
      <c r="G17" s="265"/>
      <c r="H17" s="929"/>
      <c r="I17" s="223"/>
      <c r="L17" s="286"/>
      <c r="M17" s="286"/>
      <c r="N17" s="930">
        <f>IF(Efetivo!BC59&gt;0,"Valor não incluso no cálculo dos Encargos Sociais:",0)</f>
        <v>0</v>
      </c>
      <c r="P17" s="931">
        <f>-Efetivo!BC59</f>
        <v>0</v>
      </c>
    </row>
    <row r="18" spans="3:16" ht="7.5" customHeight="1">
      <c r="D18" s="292"/>
      <c r="F18" s="265"/>
      <c r="G18" s="265"/>
      <c r="H18" s="293"/>
      <c r="I18" s="223"/>
      <c r="J18" s="294"/>
      <c r="K18" s="294"/>
      <c r="L18" s="286"/>
      <c r="M18" s="286"/>
      <c r="N18" s="284"/>
      <c r="P18" s="284"/>
    </row>
    <row r="19" spans="3:16" ht="15.75" customHeight="1" thickBot="1">
      <c r="C19" s="1114">
        <f>C15+C17</f>
        <v>20</v>
      </c>
      <c r="D19" s="1115"/>
      <c r="E19" s="230"/>
      <c r="F19" s="438" t="s">
        <v>178</v>
      </c>
      <c r="G19" s="230"/>
      <c r="H19" s="440"/>
      <c r="I19" s="440"/>
      <c r="J19" s="440"/>
      <c r="K19" s="440"/>
      <c r="L19" s="441"/>
      <c r="M19" s="295"/>
      <c r="N19" s="471">
        <f>IF(P19&gt;0,(P19*100%)/F$75,0)</f>
        <v>0</v>
      </c>
      <c r="O19" s="296"/>
      <c r="P19" s="472">
        <f>P15+P17</f>
        <v>0</v>
      </c>
    </row>
    <row r="20" spans="3:16" ht="16.5" customHeight="1"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97"/>
    </row>
    <row r="21" spans="3:16" ht="16.5" customHeight="1" thickBot="1">
      <c r="C21" s="438" t="s">
        <v>99</v>
      </c>
      <c r="D21" s="232"/>
      <c r="E21" s="232"/>
      <c r="F21" s="423">
        <f>'E S'!F47</f>
        <v>0.69502857777777782</v>
      </c>
      <c r="G21" s="232"/>
      <c r="I21" s="442" t="s">
        <v>233</v>
      </c>
      <c r="J21" s="435"/>
      <c r="L21" s="436" t="s">
        <v>97</v>
      </c>
      <c r="M21" s="300"/>
      <c r="N21" s="471">
        <f>IF(P21&gt;0,(P21*100%)/F$75,0)</f>
        <v>0</v>
      </c>
      <c r="O21" s="286"/>
      <c r="P21" s="473">
        <f>SUM(Consolidado_Geral!L98)</f>
        <v>0</v>
      </c>
    </row>
    <row r="22" spans="3:16" ht="15.75" customHeight="1">
      <c r="C22" s="232"/>
      <c r="D22" s="232"/>
      <c r="E22" s="232"/>
      <c r="F22" s="268"/>
      <c r="G22" s="232"/>
      <c r="I22" s="298"/>
      <c r="L22" s="299"/>
      <c r="M22" s="300"/>
      <c r="N22" s="286"/>
      <c r="O22" s="286"/>
      <c r="P22" s="301"/>
    </row>
    <row r="23" spans="3:16" ht="22.5" customHeight="1" thickBot="1">
      <c r="C23" s="476"/>
      <c r="D23" s="477"/>
      <c r="E23" s="477"/>
      <c r="F23" s="478" t="s">
        <v>483</v>
      </c>
      <c r="G23" s="477"/>
      <c r="H23" s="479"/>
      <c r="I23" s="480"/>
      <c r="J23" s="479"/>
      <c r="K23" s="479"/>
      <c r="L23" s="464"/>
      <c r="M23" s="481"/>
      <c r="N23" s="482"/>
      <c r="O23" s="443"/>
      <c r="P23" s="472">
        <f>SUM(P15,P21)</f>
        <v>0</v>
      </c>
    </row>
    <row r="24" spans="3:16" ht="12" customHeight="1">
      <c r="C24" s="438"/>
      <c r="D24" s="438"/>
      <c r="E24" s="438"/>
      <c r="F24" s="438"/>
      <c r="G24" s="438"/>
      <c r="H24" s="444"/>
      <c r="I24" s="444"/>
      <c r="J24" s="445"/>
      <c r="K24" s="445"/>
      <c r="L24" s="446"/>
      <c r="M24" s="446"/>
      <c r="N24" s="443"/>
      <c r="O24" s="443"/>
      <c r="P24" s="447"/>
    </row>
    <row r="25" spans="3:16" ht="23.25" customHeight="1" thickBot="1">
      <c r="C25" s="1131" t="s">
        <v>79</v>
      </c>
      <c r="D25" s="1132"/>
      <c r="E25" s="1132"/>
      <c r="F25" s="1132"/>
      <c r="G25" s="1132"/>
      <c r="H25" s="1132"/>
      <c r="I25" s="1132"/>
      <c r="J25" s="1132"/>
      <c r="K25" s="1132"/>
      <c r="L25" s="1132"/>
      <c r="M25" s="1132"/>
      <c r="N25" s="1132"/>
      <c r="O25" s="1132"/>
      <c r="P25" s="1133"/>
    </row>
    <row r="26" spans="3:16" ht="6.75" customHeight="1">
      <c r="C26" s="438"/>
      <c r="D26" s="438"/>
      <c r="E26" s="438"/>
      <c r="F26" s="438"/>
      <c r="G26" s="438"/>
      <c r="H26" s="444"/>
      <c r="I26" s="444"/>
      <c r="J26" s="445"/>
      <c r="K26" s="445"/>
      <c r="L26" s="446"/>
      <c r="M26" s="446"/>
      <c r="N26" s="443"/>
      <c r="O26" s="443"/>
      <c r="P26" s="447"/>
    </row>
    <row r="27" spans="3:16" ht="15.75" customHeight="1" thickBot="1">
      <c r="C27" s="1134" t="s">
        <v>79</v>
      </c>
      <c r="D27" s="1134"/>
      <c r="E27" s="1134"/>
      <c r="F27" s="1134"/>
      <c r="G27" s="1134"/>
      <c r="H27" s="1134"/>
      <c r="I27" s="439"/>
      <c r="J27" s="448"/>
      <c r="K27" s="448"/>
      <c r="L27" s="448"/>
      <c r="M27" s="448"/>
      <c r="N27" s="474" t="s">
        <v>118</v>
      </c>
      <c r="O27" s="487"/>
      <c r="P27" s="183" t="s">
        <v>112</v>
      </c>
    </row>
    <row r="28" spans="3:16" ht="5.25" customHeight="1">
      <c r="C28" s="435"/>
      <c r="D28" s="435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</row>
    <row r="29" spans="3:16" ht="13.5" thickBot="1">
      <c r="C29" s="449" t="s">
        <v>189</v>
      </c>
      <c r="D29" s="449"/>
      <c r="E29" s="449"/>
      <c r="F29" s="449"/>
      <c r="G29" s="449"/>
      <c r="H29" s="449"/>
      <c r="I29" s="449"/>
      <c r="J29" s="450"/>
      <c r="K29" s="450"/>
      <c r="L29" s="451"/>
      <c r="M29" s="452"/>
      <c r="N29" s="471">
        <f>IF(P29&gt;0,((P29*100%)/$F$75),0)</f>
        <v>0</v>
      </c>
      <c r="O29" s="443"/>
      <c r="P29" s="475">
        <f>Benefícios!AA7</f>
        <v>0</v>
      </c>
    </row>
    <row r="30" spans="3:16" ht="4.5" customHeight="1">
      <c r="C30" s="449"/>
      <c r="D30" s="449"/>
      <c r="E30" s="449"/>
      <c r="F30" s="449"/>
      <c r="G30" s="449"/>
      <c r="H30" s="449"/>
      <c r="I30" s="449"/>
      <c r="J30" s="450"/>
      <c r="K30" s="450"/>
      <c r="L30" s="452"/>
      <c r="M30" s="452"/>
      <c r="N30" s="437"/>
      <c r="O30" s="443"/>
      <c r="P30" s="450"/>
    </row>
    <row r="31" spans="3:16" ht="13.5" thickBot="1">
      <c r="C31" s="449" t="s">
        <v>92</v>
      </c>
      <c r="D31" s="449"/>
      <c r="E31" s="449"/>
      <c r="F31" s="449"/>
      <c r="G31" s="449"/>
      <c r="H31" s="449"/>
      <c r="I31" s="449"/>
      <c r="J31" s="450"/>
      <c r="K31" s="450"/>
      <c r="L31" s="452"/>
      <c r="M31" s="452"/>
      <c r="N31" s="471">
        <f>IF(P31&gt;0,((P31*100%)/$F$75),0)</f>
        <v>0</v>
      </c>
      <c r="O31" s="443"/>
      <c r="P31" s="475">
        <f>Benefícios!AI7</f>
        <v>0</v>
      </c>
    </row>
    <row r="32" spans="3:16" ht="3.75" customHeight="1">
      <c r="C32" s="449"/>
      <c r="D32" s="449"/>
      <c r="E32" s="449"/>
      <c r="F32" s="449"/>
      <c r="G32" s="449"/>
      <c r="H32" s="449"/>
      <c r="I32" s="449"/>
      <c r="J32" s="450"/>
      <c r="K32" s="450"/>
      <c r="L32" s="452"/>
      <c r="M32" s="452"/>
      <c r="N32" s="437"/>
      <c r="O32" s="443"/>
      <c r="P32" s="450"/>
    </row>
    <row r="33" spans="3:17" ht="13.5" thickBot="1">
      <c r="C33" s="449" t="s">
        <v>93</v>
      </c>
      <c r="D33" s="449"/>
      <c r="E33" s="449"/>
      <c r="F33" s="449"/>
      <c r="G33" s="449"/>
      <c r="H33" s="449"/>
      <c r="I33" s="449"/>
      <c r="J33" s="450"/>
      <c r="K33" s="450"/>
      <c r="L33" s="452"/>
      <c r="M33" s="452"/>
      <c r="N33" s="471">
        <f>IF(P33&gt;0,((P33*100%)/$F$75),0)</f>
        <v>0</v>
      </c>
      <c r="O33" s="443"/>
      <c r="P33" s="475">
        <f>Benefícios!R7</f>
        <v>0</v>
      </c>
    </row>
    <row r="34" spans="3:17" ht="3.75" customHeight="1">
      <c r="C34" s="449"/>
      <c r="D34" s="449"/>
      <c r="E34" s="449"/>
      <c r="F34" s="449"/>
      <c r="G34" s="449"/>
      <c r="H34" s="449"/>
      <c r="I34" s="449"/>
      <c r="J34" s="450"/>
      <c r="K34" s="450"/>
      <c r="L34" s="452"/>
      <c r="M34" s="452"/>
      <c r="N34" s="437"/>
      <c r="O34" s="443"/>
      <c r="P34" s="450"/>
    </row>
    <row r="35" spans="3:17" ht="13.5" thickBot="1">
      <c r="C35" s="449" t="s">
        <v>488</v>
      </c>
      <c r="D35" s="449"/>
      <c r="E35" s="449"/>
      <c r="F35" s="449"/>
      <c r="G35" s="449"/>
      <c r="H35" s="449"/>
      <c r="I35" s="449"/>
      <c r="J35" s="450"/>
      <c r="K35" s="450"/>
      <c r="L35" s="451"/>
      <c r="M35" s="452"/>
      <c r="N35" s="471">
        <f>IF(P35&gt;0,((P35*100%)/$F$75),0)</f>
        <v>0</v>
      </c>
      <c r="O35" s="443"/>
      <c r="P35" s="475">
        <f>'Uniforme e EPI'!J8</f>
        <v>0</v>
      </c>
    </row>
    <row r="36" spans="3:17" ht="5.25" customHeight="1"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53"/>
      <c r="O36" s="435"/>
      <c r="P36" s="435"/>
    </row>
    <row r="37" spans="3:17" ht="13.5" thickBot="1">
      <c r="C37" s="449" t="s">
        <v>91</v>
      </c>
      <c r="D37" s="449"/>
      <c r="E37" s="449"/>
      <c r="F37" s="449"/>
      <c r="G37" s="449"/>
      <c r="H37" s="449"/>
      <c r="I37" s="449"/>
      <c r="J37" s="450"/>
      <c r="K37" s="450"/>
      <c r="L37" s="451"/>
      <c r="M37" s="452"/>
      <c r="N37" s="471">
        <f>IF(P37&gt;0,((P37*100%)/$F$75),0)</f>
        <v>0</v>
      </c>
      <c r="O37" s="443"/>
      <c r="P37" s="475">
        <f>Benefícios!BG7</f>
        <v>0</v>
      </c>
      <c r="Q37" s="303"/>
    </row>
    <row r="38" spans="3:17" ht="3" customHeight="1">
      <c r="C38" s="449"/>
      <c r="D38" s="449"/>
      <c r="E38" s="449"/>
      <c r="F38" s="449"/>
      <c r="G38" s="449"/>
      <c r="H38" s="449"/>
      <c r="I38" s="449"/>
      <c r="J38" s="450"/>
      <c r="K38" s="450"/>
      <c r="L38" s="451"/>
      <c r="M38" s="452"/>
      <c r="N38" s="437"/>
      <c r="O38" s="443"/>
      <c r="P38" s="450"/>
      <c r="Q38" s="303"/>
    </row>
    <row r="39" spans="3:17" ht="13.5" thickBot="1">
      <c r="C39" s="449" t="s">
        <v>94</v>
      </c>
      <c r="D39" s="449"/>
      <c r="E39" s="449"/>
      <c r="F39" s="449"/>
      <c r="G39" s="449"/>
      <c r="H39" s="449"/>
      <c r="I39" s="449"/>
      <c r="J39" s="450"/>
      <c r="K39" s="450"/>
      <c r="L39" s="451"/>
      <c r="M39" s="452"/>
      <c r="N39" s="471">
        <f>IF(P39&gt;0,((P39*100%)/$F$75),0)</f>
        <v>0</v>
      </c>
      <c r="O39" s="443"/>
      <c r="P39" s="475">
        <f>Benefícios!AQ7</f>
        <v>0</v>
      </c>
      <c r="Q39" s="303"/>
    </row>
    <row r="40" spans="3:17" ht="5.25" customHeight="1">
      <c r="C40" s="449"/>
      <c r="D40" s="449"/>
      <c r="E40" s="449"/>
      <c r="F40" s="449"/>
      <c r="G40" s="449"/>
      <c r="H40" s="449"/>
      <c r="I40" s="449"/>
      <c r="J40" s="450"/>
      <c r="K40" s="450"/>
      <c r="L40" s="451"/>
      <c r="M40" s="452"/>
      <c r="N40" s="437"/>
      <c r="O40" s="443"/>
      <c r="P40" s="450"/>
      <c r="Q40" s="303"/>
    </row>
    <row r="41" spans="3:17" ht="13.5" thickBot="1">
      <c r="C41" s="449" t="s">
        <v>95</v>
      </c>
      <c r="D41" s="449"/>
      <c r="E41" s="449"/>
      <c r="F41" s="449"/>
      <c r="G41" s="449"/>
      <c r="H41" s="449"/>
      <c r="I41" s="449"/>
      <c r="J41" s="450"/>
      <c r="K41" s="450"/>
      <c r="L41" s="451"/>
      <c r="M41" s="452"/>
      <c r="N41" s="471">
        <f>IF(P41&gt;0,((P41*100%)/$F$75),0)</f>
        <v>0</v>
      </c>
      <c r="O41" s="443"/>
      <c r="P41" s="475">
        <f>Benefícios!AY7</f>
        <v>0</v>
      </c>
      <c r="Q41" s="303"/>
    </row>
    <row r="42" spans="3:17" ht="5.25" customHeight="1">
      <c r="C42" s="449"/>
      <c r="D42" s="449"/>
      <c r="E42" s="449"/>
      <c r="F42" s="449"/>
      <c r="G42" s="449"/>
      <c r="H42" s="449"/>
      <c r="I42" s="449"/>
      <c r="J42" s="450"/>
      <c r="K42" s="450"/>
      <c r="L42" s="452"/>
      <c r="M42" s="452"/>
      <c r="N42" s="437"/>
      <c r="O42" s="443"/>
      <c r="P42" s="450"/>
      <c r="Q42" s="303"/>
    </row>
    <row r="43" spans="3:17" ht="13.5" thickBot="1">
      <c r="C43" s="942" t="str">
        <f>Benefícios!BI5</f>
        <v>Outros</v>
      </c>
      <c r="D43" s="449"/>
      <c r="E43" s="449"/>
      <c r="F43" s="449"/>
      <c r="G43" s="449"/>
      <c r="H43" s="449"/>
      <c r="I43" s="449"/>
      <c r="J43" s="450"/>
      <c r="K43" s="450"/>
      <c r="L43" s="451"/>
      <c r="M43" s="452"/>
      <c r="N43" s="471">
        <f>IF(P43&gt;0,((P43*100%)/$F$75),0)</f>
        <v>0</v>
      </c>
      <c r="O43" s="443"/>
      <c r="P43" s="475">
        <f>Benefícios!BO7</f>
        <v>0</v>
      </c>
      <c r="Q43" s="303"/>
    </row>
    <row r="44" spans="3:17" ht="5.25" customHeight="1">
      <c r="C44" s="435"/>
      <c r="D44" s="435"/>
      <c r="E44" s="435"/>
      <c r="F44" s="435"/>
      <c r="G44" s="435"/>
      <c r="H44" s="435"/>
      <c r="I44" s="435"/>
      <c r="J44" s="435"/>
      <c r="K44" s="435"/>
      <c r="L44" s="435"/>
      <c r="M44" s="435"/>
      <c r="N44" s="454"/>
      <c r="O44" s="435"/>
      <c r="P44" s="435"/>
      <c r="Q44" s="303"/>
    </row>
    <row r="45" spans="3:17" ht="13.5" thickBot="1">
      <c r="C45" s="449" t="s">
        <v>116</v>
      </c>
      <c r="D45" s="449"/>
      <c r="E45" s="449"/>
      <c r="F45" s="449"/>
      <c r="G45" s="449"/>
      <c r="H45" s="455"/>
      <c r="I45" s="455"/>
      <c r="J45" s="435"/>
      <c r="K45" s="450"/>
      <c r="L45" s="456"/>
      <c r="M45" s="452"/>
      <c r="N45" s="471">
        <f>IF(P45&gt;0,((P45*100%)/$F$75),0)</f>
        <v>0</v>
      </c>
      <c r="O45" s="443"/>
      <c r="P45" s="475">
        <f>Material!L10</f>
        <v>0</v>
      </c>
    </row>
    <row r="46" spans="3:17" ht="5.25" customHeight="1">
      <c r="C46" s="449"/>
      <c r="D46" s="449"/>
      <c r="E46" s="449"/>
      <c r="F46" s="449"/>
      <c r="G46" s="449"/>
      <c r="H46" s="435"/>
      <c r="I46" s="435"/>
      <c r="J46" s="450"/>
      <c r="K46" s="450"/>
      <c r="L46" s="452"/>
      <c r="M46" s="452"/>
      <c r="N46" s="437"/>
      <c r="O46" s="443"/>
      <c r="P46" s="450"/>
    </row>
    <row r="47" spans="3:17" ht="12.75" customHeight="1" thickBot="1">
      <c r="C47" s="449" t="s">
        <v>166</v>
      </c>
      <c r="D47" s="449"/>
      <c r="E47" s="449"/>
      <c r="F47" s="449"/>
      <c r="G47" s="449"/>
      <c r="H47" s="435"/>
      <c r="I47" s="435"/>
      <c r="J47" s="450"/>
      <c r="K47" s="450"/>
      <c r="L47" s="452"/>
      <c r="M47" s="452"/>
      <c r="N47" s="471">
        <f>IF(P47&gt;0,((P47*100%)/$F$75),0)</f>
        <v>0</v>
      </c>
      <c r="O47" s="443"/>
      <c r="P47" s="475">
        <f>DE!O8</f>
        <v>0</v>
      </c>
    </row>
    <row r="48" spans="3:17" ht="3.75" customHeight="1">
      <c r="C48" s="449"/>
      <c r="D48" s="449"/>
      <c r="E48" s="449"/>
      <c r="F48" s="449"/>
      <c r="G48" s="449"/>
      <c r="H48" s="435"/>
      <c r="I48" s="435"/>
      <c r="J48" s="450"/>
      <c r="K48" s="450"/>
      <c r="L48" s="452"/>
      <c r="M48" s="452"/>
      <c r="N48" s="437"/>
      <c r="O48" s="443"/>
      <c r="P48" s="450"/>
    </row>
    <row r="49" spans="3:16" ht="12.75" customHeight="1" thickBot="1">
      <c r="C49" s="449" t="s">
        <v>117</v>
      </c>
      <c r="D49" s="449"/>
      <c r="E49" s="449"/>
      <c r="F49" s="449"/>
      <c r="G49" s="449"/>
      <c r="H49" s="435"/>
      <c r="I49" s="435"/>
      <c r="J49" s="450"/>
      <c r="K49" s="450"/>
      <c r="L49" s="452"/>
      <c r="M49" s="452"/>
      <c r="N49" s="471">
        <f>IF(P49&gt;0,((P49*100%)/$F$75),0)</f>
        <v>0</v>
      </c>
      <c r="O49" s="443"/>
      <c r="P49" s="475">
        <f>DV!O8</f>
        <v>0</v>
      </c>
    </row>
    <row r="50" spans="3:16" ht="3.75" customHeight="1">
      <c r="C50" s="449"/>
      <c r="D50" s="449"/>
      <c r="E50" s="449"/>
      <c r="F50" s="449"/>
      <c r="G50" s="449"/>
      <c r="H50" s="435"/>
      <c r="I50" s="435"/>
      <c r="J50" s="450"/>
      <c r="K50" s="450"/>
      <c r="L50" s="452"/>
      <c r="M50" s="452"/>
      <c r="N50" s="437"/>
      <c r="O50" s="443"/>
      <c r="P50" s="450"/>
    </row>
    <row r="51" spans="3:16" ht="12.75" customHeight="1" thickBot="1">
      <c r="C51" s="449" t="s">
        <v>407</v>
      </c>
      <c r="D51" s="449"/>
      <c r="E51" s="449"/>
      <c r="F51" s="449"/>
      <c r="G51" s="449"/>
      <c r="H51" s="435"/>
      <c r="I51" s="435"/>
      <c r="J51" s="450"/>
      <c r="K51" s="450"/>
      <c r="L51" s="452"/>
      <c r="M51" s="452"/>
      <c r="N51" s="471">
        <f>IF(P51&gt;0,((P51*100%)/$F$75),0)</f>
        <v>0</v>
      </c>
      <c r="O51" s="443"/>
      <c r="P51" s="475">
        <f>DE!S8</f>
        <v>0</v>
      </c>
    </row>
    <row r="52" spans="3:16" ht="3.75" customHeight="1">
      <c r="C52" s="435"/>
      <c r="D52" s="435"/>
      <c r="E52" s="435"/>
      <c r="F52" s="435"/>
      <c r="G52" s="435"/>
      <c r="H52" s="435"/>
      <c r="I52" s="435"/>
      <c r="J52" s="435"/>
      <c r="K52" s="435"/>
      <c r="L52" s="435"/>
      <c r="M52" s="435"/>
      <c r="N52" s="454"/>
      <c r="O52" s="435"/>
      <c r="P52" s="435"/>
    </row>
    <row r="53" spans="3:16" ht="12.75" customHeight="1" thickBot="1">
      <c r="C53" s="449" t="s">
        <v>161</v>
      </c>
      <c r="D53" s="449"/>
      <c r="E53" s="449"/>
      <c r="F53" s="449"/>
      <c r="G53" s="449"/>
      <c r="H53" s="435"/>
      <c r="I53" s="435"/>
      <c r="J53" s="450"/>
      <c r="K53" s="450"/>
      <c r="L53" s="452"/>
      <c r="M53" s="452"/>
      <c r="N53" s="471">
        <f>IF(P53&gt;0,((P53*100%)/$F$75),0)</f>
        <v>0</v>
      </c>
      <c r="O53" s="443"/>
      <c r="P53" s="475">
        <f>DV!S8</f>
        <v>0</v>
      </c>
    </row>
    <row r="54" spans="3:16" ht="3.75" customHeight="1">
      <c r="C54" s="449"/>
      <c r="D54" s="449"/>
      <c r="E54" s="449"/>
      <c r="F54" s="449"/>
      <c r="G54" s="449"/>
      <c r="H54" s="435"/>
      <c r="I54" s="435"/>
      <c r="J54" s="450"/>
      <c r="K54" s="450"/>
      <c r="L54" s="452"/>
      <c r="M54" s="452"/>
      <c r="N54" s="437"/>
      <c r="O54" s="443"/>
      <c r="P54" s="450"/>
    </row>
    <row r="55" spans="3:16" ht="12.75" customHeight="1" thickBot="1">
      <c r="C55" s="449" t="s">
        <v>209</v>
      </c>
      <c r="D55" s="449"/>
      <c r="E55" s="449"/>
      <c r="F55" s="449"/>
      <c r="G55" s="449"/>
      <c r="H55" s="435"/>
      <c r="I55" s="435"/>
      <c r="J55" s="450"/>
      <c r="K55" s="450"/>
      <c r="L55" s="452"/>
      <c r="M55" s="452"/>
      <c r="N55" s="471">
        <f>IF(P55&gt;0,((P55*100%)/$F$75),0)</f>
        <v>0</v>
      </c>
      <c r="O55" s="443"/>
      <c r="P55" s="475">
        <f>DG!K7</f>
        <v>0</v>
      </c>
    </row>
    <row r="56" spans="3:16" ht="3.75" customHeight="1">
      <c r="C56" s="449"/>
      <c r="D56" s="449"/>
      <c r="E56" s="449"/>
      <c r="F56" s="449"/>
      <c r="G56" s="449"/>
      <c r="H56" s="435"/>
      <c r="I56" s="435"/>
      <c r="J56" s="450"/>
      <c r="K56" s="450"/>
      <c r="L56" s="452"/>
      <c r="M56" s="452"/>
      <c r="N56" s="437"/>
      <c r="O56" s="443"/>
      <c r="P56" s="450"/>
    </row>
    <row r="57" spans="3:16" ht="12.75" customHeight="1" thickBot="1">
      <c r="C57" s="457" t="str">
        <f>Benefícios!BQ5</f>
        <v>Outros</v>
      </c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471">
        <f>IF(P57&gt;0,((P57*100%)/$F$75),0)</f>
        <v>0</v>
      </c>
      <c r="O57" s="435"/>
      <c r="P57" s="475">
        <f>Benefícios!BW7</f>
        <v>0</v>
      </c>
    </row>
    <row r="58" spans="3:16" ht="8.25" customHeight="1"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435"/>
      <c r="N58" s="435"/>
      <c r="O58" s="435"/>
      <c r="P58" s="435"/>
    </row>
    <row r="59" spans="3:16" ht="20.25" customHeight="1" thickBot="1">
      <c r="C59" s="1137" t="s">
        <v>484</v>
      </c>
      <c r="D59" s="1137"/>
      <c r="E59" s="1137"/>
      <c r="F59" s="1137"/>
      <c r="G59" s="1137"/>
      <c r="H59" s="1137"/>
      <c r="I59" s="1137"/>
      <c r="J59" s="1137"/>
      <c r="K59" s="1137"/>
      <c r="L59" s="1137"/>
      <c r="M59" s="1137"/>
      <c r="N59" s="1138"/>
      <c r="O59" s="486"/>
      <c r="P59" s="473">
        <f>ROUND((SUM(P29:P57)),2)</f>
        <v>0</v>
      </c>
    </row>
    <row r="60" spans="3:16" ht="12" customHeight="1"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</row>
    <row r="61" spans="3:16" ht="23.25" customHeight="1" thickBot="1">
      <c r="C61" s="1137" t="s">
        <v>485</v>
      </c>
      <c r="D61" s="1137"/>
      <c r="E61" s="1137"/>
      <c r="F61" s="1137"/>
      <c r="G61" s="1137"/>
      <c r="H61" s="1137"/>
      <c r="I61" s="1137"/>
      <c r="J61" s="1137"/>
      <c r="K61" s="1137"/>
      <c r="L61" s="1137"/>
      <c r="M61" s="1137"/>
      <c r="N61" s="1138"/>
      <c r="O61" s="486"/>
      <c r="P61" s="473">
        <f>(P15+P21+P59)</f>
        <v>0</v>
      </c>
    </row>
    <row r="62" spans="3:16" ht="17.25" customHeight="1">
      <c r="C62" s="435"/>
      <c r="D62" s="435"/>
      <c r="E62" s="435"/>
      <c r="F62" s="435"/>
      <c r="G62" s="435"/>
      <c r="H62" s="435"/>
      <c r="I62" s="435"/>
      <c r="J62" s="435"/>
      <c r="K62" s="435"/>
      <c r="L62" s="435"/>
      <c r="M62" s="435"/>
      <c r="N62" s="435"/>
      <c r="O62" s="435"/>
      <c r="P62" s="435"/>
    </row>
    <row r="63" spans="3:16" ht="24" customHeight="1" thickBot="1">
      <c r="C63" s="1131" t="s">
        <v>41</v>
      </c>
      <c r="D63" s="1132"/>
      <c r="E63" s="1132"/>
      <c r="F63" s="1132"/>
      <c r="G63" s="1132"/>
      <c r="H63" s="1132"/>
      <c r="I63" s="1132"/>
      <c r="J63" s="1132"/>
      <c r="K63" s="1132"/>
      <c r="L63" s="1132"/>
      <c r="M63" s="1132"/>
      <c r="N63" s="1132"/>
      <c r="O63" s="1132"/>
      <c r="P63" s="1133"/>
    </row>
    <row r="64" spans="3:16" ht="7.5" customHeight="1">
      <c r="C64" s="435"/>
      <c r="D64" s="435"/>
      <c r="E64" s="435"/>
      <c r="F64" s="435"/>
      <c r="G64" s="435"/>
      <c r="H64" s="435"/>
      <c r="I64" s="435"/>
      <c r="J64" s="435"/>
      <c r="K64" s="435"/>
      <c r="L64" s="435"/>
      <c r="M64" s="435"/>
      <c r="N64" s="435"/>
      <c r="O64" s="435"/>
      <c r="P64" s="435"/>
    </row>
    <row r="65" spans="3:16" ht="23.25" customHeight="1" thickBot="1">
      <c r="C65" s="483" t="s">
        <v>214</v>
      </c>
      <c r="D65" s="484"/>
      <c r="E65" s="484"/>
      <c r="F65" s="484"/>
      <c r="G65" s="484"/>
      <c r="H65" s="485"/>
      <c r="I65" s="435"/>
      <c r="J65" s="423">
        <f>MC!D6</f>
        <v>0.1462</v>
      </c>
      <c r="K65" s="445"/>
      <c r="L65" s="446"/>
      <c r="M65" s="446"/>
      <c r="N65" s="471">
        <f>IF(P65&gt;0,((P65*100%)/$F$75),0)</f>
        <v>0</v>
      </c>
      <c r="O65" s="443"/>
      <c r="P65" s="473">
        <f>Consolidado_Geral!L126</f>
        <v>0</v>
      </c>
    </row>
    <row r="66" spans="3:16" ht="12" customHeight="1">
      <c r="C66" s="438"/>
      <c r="D66" s="438"/>
      <c r="E66" s="438"/>
      <c r="F66" s="438"/>
      <c r="G66" s="438"/>
      <c r="H66" s="435"/>
      <c r="I66" s="435"/>
      <c r="J66" s="458"/>
      <c r="K66" s="445"/>
      <c r="L66" s="446"/>
      <c r="M66" s="446"/>
      <c r="N66" s="437"/>
      <c r="O66" s="443"/>
      <c r="P66" s="447"/>
    </row>
    <row r="67" spans="3:16" ht="23.25" customHeight="1" thickBot="1">
      <c r="C67" s="1116" t="s">
        <v>486</v>
      </c>
      <c r="D67" s="1116"/>
      <c r="E67" s="1116"/>
      <c r="F67" s="1116"/>
      <c r="G67" s="1116"/>
      <c r="H67" s="1117"/>
      <c r="I67" s="435"/>
      <c r="J67" s="423">
        <f>MC!D16</f>
        <v>8.6499999999999994E-2</v>
      </c>
      <c r="K67" s="459"/>
      <c r="L67" s="460"/>
      <c r="M67" s="451"/>
      <c r="N67" s="471">
        <f>IF(P67&gt;0,((P67*100%)/$F$75),0)</f>
        <v>0</v>
      </c>
      <c r="O67" s="443"/>
      <c r="P67" s="473">
        <f>Consolidado_Geral!L135</f>
        <v>0</v>
      </c>
    </row>
    <row r="68" spans="3:16" ht="12" customHeight="1">
      <c r="C68" s="435"/>
      <c r="D68" s="435"/>
      <c r="E68" s="435"/>
      <c r="F68" s="435"/>
      <c r="G68" s="435"/>
      <c r="H68" s="435"/>
      <c r="I68" s="435"/>
      <c r="J68" s="459"/>
      <c r="K68" s="459"/>
      <c r="L68" s="451"/>
      <c r="M68" s="451"/>
      <c r="N68" s="443"/>
      <c r="O68" s="443"/>
      <c r="P68" s="450"/>
    </row>
    <row r="69" spans="3:16" ht="20.25" customHeight="1" thickBot="1">
      <c r="C69" s="1116" t="s">
        <v>21</v>
      </c>
      <c r="D69" s="1116"/>
      <c r="E69" s="1116"/>
      <c r="F69" s="1116"/>
      <c r="G69" s="1116"/>
      <c r="H69" s="1117"/>
      <c r="I69" s="435"/>
      <c r="J69" s="459"/>
      <c r="K69" s="459"/>
      <c r="L69" s="451"/>
      <c r="M69" s="451"/>
      <c r="N69" s="451"/>
      <c r="O69" s="443"/>
      <c r="P69" s="472">
        <f>Consolidado_Geral!L145</f>
        <v>0</v>
      </c>
    </row>
    <row r="70" spans="3:16" ht="9.75" customHeight="1">
      <c r="C70" s="232"/>
      <c r="D70" s="232"/>
      <c r="E70" s="232"/>
      <c r="F70" s="232"/>
      <c r="G70" s="232"/>
      <c r="H70" s="232"/>
      <c r="I70" s="232"/>
    </row>
    <row r="71" spans="3:16" ht="20.25" customHeight="1" thickBot="1">
      <c r="C71" s="1116" t="s">
        <v>481</v>
      </c>
      <c r="D71" s="1116"/>
      <c r="E71" s="1116"/>
      <c r="F71" s="1116"/>
      <c r="G71" s="1116"/>
      <c r="H71" s="1117"/>
      <c r="I71" s="232"/>
      <c r="P71" s="472">
        <f>Consolidado_Geral!L157</f>
        <v>0</v>
      </c>
    </row>
    <row r="72" spans="3:16" ht="9.75" customHeight="1">
      <c r="C72" s="232"/>
      <c r="D72" s="232"/>
      <c r="E72" s="232"/>
      <c r="F72" s="232"/>
      <c r="G72" s="232"/>
      <c r="H72" s="232"/>
      <c r="I72" s="232"/>
    </row>
    <row r="73" spans="3:16" ht="27.75" customHeight="1" thickBot="1">
      <c r="C73" s="302"/>
      <c r="D73" s="637" t="s">
        <v>179</v>
      </c>
      <c r="E73" s="302"/>
      <c r="F73" s="1064" t="s">
        <v>83</v>
      </c>
      <c r="G73" s="1065"/>
      <c r="H73" s="1066"/>
      <c r="I73" s="302"/>
      <c r="J73" s="1064" t="s">
        <v>34</v>
      </c>
      <c r="K73" s="1065"/>
      <c r="L73" s="1066"/>
      <c r="N73" s="1118" t="s">
        <v>602</v>
      </c>
      <c r="O73" s="1119"/>
      <c r="P73" s="1120"/>
    </row>
    <row r="74" spans="3:16" ht="5.25" customHeight="1">
      <c r="C74" s="302"/>
      <c r="D74" s="638"/>
      <c r="E74" s="302"/>
      <c r="F74" s="302"/>
      <c r="G74" s="302"/>
      <c r="I74" s="302"/>
      <c r="N74" s="636"/>
      <c r="O74" s="636"/>
      <c r="P74" s="636"/>
    </row>
    <row r="75" spans="3:16" ht="23.25" customHeight="1" thickBot="1">
      <c r="C75" s="232"/>
      <c r="D75" s="637">
        <f>Dados!C18</f>
        <v>12</v>
      </c>
      <c r="E75" s="232"/>
      <c r="F75" s="1123">
        <f>ROUND(P61+P65+P67,2)</f>
        <v>0</v>
      </c>
      <c r="G75" s="1123"/>
      <c r="H75" s="1124"/>
      <c r="J75" s="1123">
        <f>(F75*D75)+P69+P71</f>
        <v>0</v>
      </c>
      <c r="K75" s="1123"/>
      <c r="L75" s="1124"/>
      <c r="M75" s="305"/>
      <c r="N75" s="1121">
        <f>ROUND((IF(F75&gt;0,F75/C15,0)),2)</f>
        <v>0</v>
      </c>
      <c r="O75" s="1121"/>
      <c r="P75" s="1122"/>
    </row>
    <row r="76" spans="3:16" ht="6" customHeight="1"/>
    <row r="77" spans="3:16" ht="16.5" customHeight="1"/>
    <row r="78" spans="3:16" ht="6.75" customHeight="1"/>
    <row r="79" spans="3:16" ht="23.25" customHeight="1"/>
    <row r="81" ht="5.25" customHeight="1"/>
    <row r="82" ht="11.25" customHeight="1"/>
    <row r="83" ht="5.25" customHeight="1"/>
    <row r="85" ht="5.25" customHeight="1"/>
    <row r="87" ht="5.25" customHeight="1"/>
    <row r="89" ht="5.25" customHeight="1"/>
    <row r="91" ht="5.25" customHeight="1"/>
    <row r="93" ht="5.25" customHeight="1"/>
    <row r="95" ht="5.25" customHeight="1"/>
    <row r="97" ht="5.25" customHeight="1"/>
  </sheetData>
  <sheetProtection password="CADB" sheet="1" formatCells="0" formatColumns="0" formatRows="0"/>
  <mergeCells count="22">
    <mergeCell ref="C63:P63"/>
    <mergeCell ref="C4:P4"/>
    <mergeCell ref="C7:P7"/>
    <mergeCell ref="C9:P9"/>
    <mergeCell ref="C11:D11"/>
    <mergeCell ref="C13:D13"/>
    <mergeCell ref="C15:D15"/>
    <mergeCell ref="C69:H69"/>
    <mergeCell ref="N73:P73"/>
    <mergeCell ref="N75:P75"/>
    <mergeCell ref="F73:H73"/>
    <mergeCell ref="F75:H75"/>
    <mergeCell ref="C71:H71"/>
    <mergeCell ref="J75:L75"/>
    <mergeCell ref="J73:L73"/>
    <mergeCell ref="C25:P25"/>
    <mergeCell ref="C17:D17"/>
    <mergeCell ref="C27:H27"/>
    <mergeCell ref="C19:D19"/>
    <mergeCell ref="C67:H67"/>
    <mergeCell ref="C59:N59"/>
    <mergeCell ref="C61:N61"/>
  </mergeCells>
  <phoneticPr fontId="0" type="noConversion"/>
  <printOptions horizontalCentered="1"/>
  <pageMargins left="0.5" right="0.33" top="0.94" bottom="0.6" header="0.32" footer="0.35433070866141736"/>
  <pageSetup paperSize="9" scale="80" orientation="portrait" blackAndWhite="1" horizontalDpi="300" verticalDpi="300" r:id="rId1"/>
  <headerFooter alignWithMargins="0">
    <oddHeader>&amp;C&amp;"Arial,Negrito"&amp;18ANEXO III&amp;12
PLANILHA DE CUSTOS 
E COMPOSIÇÃO DE PREÇOS PARA SERVIÇOS CONTÍNUOS</oddHeader>
    <oddFooter>&amp;R&amp;F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32"/>
    <pageSetUpPr autoPageBreaks="0"/>
  </sheetPr>
  <dimension ref="A1:P194"/>
  <sheetViews>
    <sheetView showGridLines="0" showZeros="0" topLeftCell="A172" workbookViewId="0">
      <selection activeCell="L157" sqref="L157"/>
    </sheetView>
  </sheetViews>
  <sheetFormatPr defaultRowHeight="12.75"/>
  <cols>
    <col min="1" max="1" width="1" style="214" customWidth="1"/>
    <col min="2" max="2" width="6.7109375" style="318" customWidth="1"/>
    <col min="3" max="3" width="6.7109375" style="214" customWidth="1"/>
    <col min="4" max="4" width="8" style="214" customWidth="1"/>
    <col min="5" max="5" width="22" style="214" customWidth="1"/>
    <col min="6" max="6" width="11" style="214" customWidth="1"/>
    <col min="7" max="7" width="13.140625" style="214" customWidth="1"/>
    <col min="8" max="8" width="12.42578125" style="214" customWidth="1"/>
    <col min="9" max="9" width="13.140625" style="214" customWidth="1"/>
    <col min="10" max="10" width="5" style="214" customWidth="1"/>
    <col min="11" max="11" width="5.85546875" style="214" customWidth="1"/>
    <col min="12" max="12" width="13" style="319" customWidth="1"/>
    <col min="13" max="13" width="0.5703125" style="214" customWidth="1"/>
    <col min="14" max="14" width="1.85546875" style="214" customWidth="1"/>
    <col min="15" max="15" width="13" style="214" hidden="1" customWidth="1"/>
    <col min="16" max="16384" width="9.140625" style="214"/>
  </cols>
  <sheetData>
    <row r="1" spans="1:13" ht="5.25" customHeight="1"/>
    <row r="2" spans="1:13" ht="47.25" customHeight="1" thickBot="1">
      <c r="A2" s="153"/>
      <c r="B2" s="320"/>
      <c r="C2" s="321"/>
      <c r="D2" s="322"/>
      <c r="E2" s="322"/>
      <c r="F2" s="1265" t="str">
        <f>Dados!C12</f>
        <v>Planilha de Custos e Formação de Preços de Serviços Contínuos de Vigilância Armada Motorizada para o SBGL</v>
      </c>
      <c r="G2" s="1265"/>
      <c r="H2" s="1265"/>
      <c r="I2" s="1265"/>
      <c r="J2" s="1265"/>
      <c r="K2" s="1265"/>
      <c r="L2" s="1265"/>
      <c r="M2" s="1266"/>
    </row>
    <row r="3" spans="1:13" ht="3.75" customHeight="1" thickBot="1">
      <c r="A3" s="153"/>
      <c r="B3" s="323"/>
      <c r="C3" s="324"/>
      <c r="D3" s="325"/>
      <c r="E3" s="325"/>
      <c r="F3" s="325"/>
      <c r="G3" s="325"/>
      <c r="H3" s="325"/>
      <c r="I3" s="325"/>
      <c r="J3" s="325"/>
      <c r="K3" s="325"/>
      <c r="L3" s="326"/>
      <c r="M3" s="325"/>
    </row>
    <row r="4" spans="1:13" ht="3.75" customHeight="1">
      <c r="A4" s="153"/>
      <c r="B4" s="327"/>
      <c r="C4" s="178"/>
      <c r="D4" s="153"/>
      <c r="E4" s="178"/>
      <c r="F4" s="153"/>
      <c r="G4" s="153"/>
      <c r="H4" s="153"/>
      <c r="I4" s="153"/>
      <c r="J4" s="153"/>
      <c r="K4" s="153"/>
      <c r="L4" s="328"/>
      <c r="M4" s="329"/>
    </row>
    <row r="5" spans="1:13" ht="29.25" customHeight="1">
      <c r="A5" s="153"/>
      <c r="B5" s="327"/>
      <c r="C5" s="393" t="s">
        <v>131</v>
      </c>
      <c r="D5" s="1275" t="str">
        <f>Dados!C10</f>
        <v>Contratação de empresa para prestação dos serviços de Vigilância  Armada Motorizada para o Aeroporto Internacional do Rio de Janeiro/Galeão - Antonio Carlos Jobim</v>
      </c>
      <c r="E5" s="1276"/>
      <c r="F5" s="1276"/>
      <c r="G5" s="1276"/>
      <c r="H5" s="1276"/>
      <c r="I5" s="1276"/>
      <c r="J5" s="1276"/>
      <c r="K5" s="1276"/>
      <c r="L5" s="1277"/>
      <c r="M5" s="329"/>
    </row>
    <row r="6" spans="1:13" ht="3.75" customHeight="1">
      <c r="A6" s="153"/>
      <c r="B6" s="327"/>
      <c r="C6" s="178"/>
      <c r="D6" s="153"/>
      <c r="E6" s="178"/>
      <c r="F6" s="153"/>
      <c r="G6" s="153"/>
      <c r="H6" s="153"/>
      <c r="I6" s="153"/>
      <c r="J6" s="153"/>
      <c r="K6" s="153"/>
      <c r="L6" s="328"/>
      <c r="M6" s="329"/>
    </row>
    <row r="7" spans="1:13">
      <c r="A7" s="153"/>
      <c r="B7" s="392"/>
      <c r="C7" s="856" t="s">
        <v>132</v>
      </c>
      <c r="D7" s="330"/>
      <c r="E7" s="394" t="s">
        <v>206</v>
      </c>
      <c r="F7" s="331"/>
      <c r="G7" s="394" t="s">
        <v>133</v>
      </c>
      <c r="H7" s="331"/>
      <c r="I7" s="394" t="s">
        <v>218</v>
      </c>
      <c r="J7" s="318"/>
      <c r="K7" s="330"/>
      <c r="L7" s="394" t="s">
        <v>217</v>
      </c>
      <c r="M7" s="329"/>
    </row>
    <row r="8" spans="1:13">
      <c r="A8" s="153"/>
      <c r="B8" s="1278">
        <f>L139</f>
        <v>0</v>
      </c>
      <c r="C8" s="1279"/>
      <c r="E8" s="854">
        <f>(L145+L157)</f>
        <v>0</v>
      </c>
      <c r="G8" s="855">
        <f>ROUND((B8*F159)+E8,2)</f>
        <v>0</v>
      </c>
      <c r="I8" s="855">
        <f>Dados!C20</f>
        <v>0</v>
      </c>
      <c r="J8" s="318"/>
      <c r="K8" s="330"/>
      <c r="L8" s="855">
        <f>ROUND(G8+I8,2)</f>
        <v>0</v>
      </c>
      <c r="M8" s="329"/>
    </row>
    <row r="9" spans="1:13" ht="3.75" customHeight="1" thickBot="1">
      <c r="A9" s="153"/>
      <c r="B9" s="332"/>
      <c r="C9" s="333"/>
      <c r="D9" s="334"/>
      <c r="E9" s="334"/>
      <c r="F9" s="335"/>
      <c r="G9" s="335"/>
      <c r="H9" s="335"/>
      <c r="I9" s="335"/>
      <c r="J9" s="335"/>
      <c r="K9" s="335"/>
      <c r="L9" s="336"/>
      <c r="M9" s="337"/>
    </row>
    <row r="10" spans="1:13" ht="2.25" customHeight="1" thickBot="1">
      <c r="A10" s="153"/>
      <c r="C10" s="196"/>
      <c r="D10" s="148"/>
      <c r="E10" s="148"/>
      <c r="F10" s="148"/>
      <c r="G10" s="148"/>
      <c r="H10" s="148"/>
      <c r="I10" s="148"/>
      <c r="J10" s="148"/>
      <c r="K10" s="148"/>
      <c r="L10" s="199"/>
      <c r="M10" s="148"/>
    </row>
    <row r="11" spans="1:13" ht="13.5" thickBot="1">
      <c r="A11" s="153"/>
      <c r="B11" s="1267" t="s">
        <v>134</v>
      </c>
      <c r="C11" s="1268"/>
      <c r="D11" s="1268"/>
      <c r="E11" s="1268"/>
      <c r="F11" s="1268"/>
      <c r="G11" s="1268"/>
      <c r="H11" s="1268"/>
      <c r="I11" s="1268"/>
      <c r="J11" s="1268"/>
      <c r="K11" s="1268"/>
      <c r="L11" s="1268"/>
      <c r="M11" s="1269"/>
    </row>
    <row r="12" spans="1:13" ht="6.75" customHeight="1" thickBot="1">
      <c r="A12" s="153"/>
      <c r="B12" s="338"/>
      <c r="C12" s="218"/>
      <c r="D12" s="178"/>
      <c r="E12" s="178"/>
      <c r="F12" s="178"/>
      <c r="G12" s="178"/>
      <c r="H12" s="178"/>
      <c r="I12" s="178"/>
      <c r="J12" s="178"/>
      <c r="K12" s="178"/>
      <c r="L12" s="199"/>
      <c r="M12" s="148"/>
    </row>
    <row r="13" spans="1:13" ht="13.5" thickBot="1">
      <c r="A13" s="153"/>
      <c r="B13" s="1272" t="s">
        <v>135</v>
      </c>
      <c r="C13" s="1273"/>
      <c r="D13" s="1273"/>
      <c r="E13" s="1273"/>
      <c r="F13" s="1273"/>
      <c r="G13" s="1273"/>
      <c r="H13" s="1273"/>
      <c r="I13" s="1273"/>
      <c r="J13" s="1273"/>
      <c r="K13" s="1273"/>
      <c r="L13" s="1273"/>
      <c r="M13" s="1274"/>
    </row>
    <row r="14" spans="1:13" ht="3.75" customHeight="1" thickBot="1">
      <c r="A14" s="153"/>
      <c r="B14" s="338"/>
      <c r="C14" s="218"/>
      <c r="D14" s="178"/>
      <c r="E14" s="178"/>
      <c r="F14" s="178"/>
      <c r="G14" s="178"/>
      <c r="H14" s="178"/>
      <c r="I14" s="178"/>
      <c r="J14" s="178"/>
      <c r="K14" s="178"/>
      <c r="L14" s="199"/>
      <c r="M14" s="148"/>
    </row>
    <row r="15" spans="1:13" s="257" customFormat="1" ht="48.75" customHeight="1" thickBot="1">
      <c r="A15" s="339"/>
      <c r="B15" s="395" t="s">
        <v>65</v>
      </c>
      <c r="C15" s="1281" t="s">
        <v>37</v>
      </c>
      <c r="D15" s="1281"/>
      <c r="E15" s="1281"/>
      <c r="F15" s="396" t="s">
        <v>36</v>
      </c>
      <c r="G15" s="396" t="s">
        <v>611</v>
      </c>
      <c r="H15" s="396" t="s">
        <v>603</v>
      </c>
      <c r="I15" s="396" t="s">
        <v>598</v>
      </c>
      <c r="J15" s="1270" t="s">
        <v>512</v>
      </c>
      <c r="K15" s="1271"/>
      <c r="L15" s="398" t="s">
        <v>38</v>
      </c>
      <c r="M15" s="340"/>
    </row>
    <row r="16" spans="1:13">
      <c r="A16" s="153"/>
      <c r="B16" s="850">
        <f>Efetivo!E13</f>
        <v>2</v>
      </c>
      <c r="C16" s="1280" t="str">
        <f>Efetivo!B13</f>
        <v>Vigilante Patrulha 05 Eixo Viário Móvel DIURNO</v>
      </c>
      <c r="D16" s="1280"/>
      <c r="E16" s="1280"/>
      <c r="F16" s="851">
        <f>Efetivo!T13</f>
        <v>0</v>
      </c>
      <c r="G16" s="851">
        <f>Efetivo!AC13</f>
        <v>0</v>
      </c>
      <c r="H16" s="851">
        <f>Efetivo!AK13</f>
        <v>0</v>
      </c>
      <c r="I16" s="851">
        <f>SUM(Efetivo!AE13+Efetivo!AO13+Efetivo!AQ13+Efetivo!BL13)</f>
        <v>0</v>
      </c>
      <c r="J16" s="1187">
        <f>Efetivo!AW13+Efetivo!AY13</f>
        <v>0</v>
      </c>
      <c r="K16" s="1188"/>
      <c r="L16" s="851">
        <f t="shared" ref="L16:L59" si="0">SUM(F16:K16)*B16</f>
        <v>0</v>
      </c>
      <c r="M16" s="341"/>
    </row>
    <row r="17" spans="1:13" ht="12.75" customHeight="1">
      <c r="A17" s="153"/>
      <c r="B17" s="852">
        <f>Efetivo!E14</f>
        <v>2</v>
      </c>
      <c r="C17" s="1182" t="str">
        <f>Efetivo!B14</f>
        <v>Vigilante Patrulha 05 Eixo Viário Móvel NOTURNO</v>
      </c>
      <c r="D17" s="1182"/>
      <c r="E17" s="1182"/>
      <c r="F17" s="851">
        <f>Efetivo!T14</f>
        <v>0</v>
      </c>
      <c r="G17" s="851">
        <f>Efetivo!AC14</f>
        <v>0</v>
      </c>
      <c r="H17" s="851">
        <f>Efetivo!AK14</f>
        <v>0</v>
      </c>
      <c r="I17" s="851">
        <f>SUM(Efetivo!AE14+Efetivo!AO14+Efetivo!AQ14+Efetivo!BL14)</f>
        <v>0</v>
      </c>
      <c r="J17" s="1187">
        <f>Efetivo!AW14+Efetivo!AY14</f>
        <v>0</v>
      </c>
      <c r="K17" s="1188"/>
      <c r="L17" s="851">
        <f t="shared" si="0"/>
        <v>0</v>
      </c>
      <c r="M17" s="341"/>
    </row>
    <row r="18" spans="1:13" ht="12.75" customHeight="1">
      <c r="A18" s="153"/>
      <c r="B18" s="852">
        <f>Efetivo!E15</f>
        <v>2</v>
      </c>
      <c r="C18" s="1182" t="str">
        <f>Efetivo!B15</f>
        <v>Vigilante Patrulha 06 Sistema 15 x 33 DIURNO</v>
      </c>
      <c r="D18" s="1182"/>
      <c r="E18" s="1182"/>
      <c r="F18" s="851">
        <f>Efetivo!T15</f>
        <v>0</v>
      </c>
      <c r="G18" s="851">
        <f>Efetivo!AC15</f>
        <v>0</v>
      </c>
      <c r="H18" s="851">
        <f>Efetivo!AK15</f>
        <v>0</v>
      </c>
      <c r="I18" s="851">
        <f>SUM(Efetivo!AE15+Efetivo!AO15+Efetivo!AQ15+Efetivo!BL15)</f>
        <v>0</v>
      </c>
      <c r="J18" s="1187">
        <f>Efetivo!AW15+Efetivo!AY15</f>
        <v>0</v>
      </c>
      <c r="K18" s="1188"/>
      <c r="L18" s="851">
        <f t="shared" si="0"/>
        <v>0</v>
      </c>
      <c r="M18" s="341"/>
    </row>
    <row r="19" spans="1:13" ht="12.75" customHeight="1">
      <c r="A19" s="153"/>
      <c r="B19" s="852">
        <f>Efetivo!E16</f>
        <v>2</v>
      </c>
      <c r="C19" s="1182" t="str">
        <f>Efetivo!B16</f>
        <v>Vigilante Patrulha 06 Sistema 15 x 33 NOTURNO</v>
      </c>
      <c r="D19" s="1182"/>
      <c r="E19" s="1182"/>
      <c r="F19" s="851">
        <f>Efetivo!T16</f>
        <v>0</v>
      </c>
      <c r="G19" s="851">
        <f>Efetivo!AC16</f>
        <v>0</v>
      </c>
      <c r="H19" s="851">
        <f>Efetivo!AK16</f>
        <v>0</v>
      </c>
      <c r="I19" s="851">
        <f>SUM(Efetivo!AE16+Efetivo!AO16+Efetivo!AQ16+Efetivo!BL16)</f>
        <v>0</v>
      </c>
      <c r="J19" s="1187">
        <f>Efetivo!AW16+Efetivo!AY16</f>
        <v>0</v>
      </c>
      <c r="K19" s="1188"/>
      <c r="L19" s="851">
        <f t="shared" si="0"/>
        <v>0</v>
      </c>
      <c r="M19" s="341"/>
    </row>
    <row r="20" spans="1:13">
      <c r="A20" s="153"/>
      <c r="B20" s="852">
        <f>Efetivo!E17</f>
        <v>2</v>
      </c>
      <c r="C20" s="1182" t="str">
        <f>Efetivo!B17</f>
        <v>Vigilante Patrulha 08 Eixo Viário Fixo DIURNO</v>
      </c>
      <c r="D20" s="1182"/>
      <c r="E20" s="1182"/>
      <c r="F20" s="851">
        <f>Efetivo!T17</f>
        <v>0</v>
      </c>
      <c r="G20" s="851">
        <f>Efetivo!AC17</f>
        <v>0</v>
      </c>
      <c r="H20" s="851">
        <f>Efetivo!AK17</f>
        <v>0</v>
      </c>
      <c r="I20" s="851">
        <f>SUM(Efetivo!AE17+Efetivo!AO17+Efetivo!AQ17+Efetivo!BL17)</f>
        <v>0</v>
      </c>
      <c r="J20" s="1187">
        <f>Efetivo!AW17+Efetivo!AY17</f>
        <v>0</v>
      </c>
      <c r="K20" s="1188"/>
      <c r="L20" s="851">
        <f t="shared" si="0"/>
        <v>0</v>
      </c>
      <c r="M20" s="341"/>
    </row>
    <row r="21" spans="1:13">
      <c r="A21" s="153"/>
      <c r="B21" s="852">
        <f>Efetivo!E18</f>
        <v>2</v>
      </c>
      <c r="C21" s="1182" t="str">
        <f>Efetivo!B18</f>
        <v>Vigilante Patrulha 08 Eixo Viário Fixo NOTURNO</v>
      </c>
      <c r="D21" s="1182"/>
      <c r="E21" s="1182"/>
      <c r="F21" s="851">
        <f>Efetivo!T18</f>
        <v>0</v>
      </c>
      <c r="G21" s="851">
        <f>Efetivo!AC18</f>
        <v>0</v>
      </c>
      <c r="H21" s="851">
        <f>Efetivo!AK18</f>
        <v>0</v>
      </c>
      <c r="I21" s="851">
        <f>SUM(Efetivo!AE18+Efetivo!AO18+Efetivo!AQ18+Efetivo!BL18)</f>
        <v>0</v>
      </c>
      <c r="J21" s="1187">
        <f>Efetivo!AW18+Efetivo!AY18</f>
        <v>0</v>
      </c>
      <c r="K21" s="1188"/>
      <c r="L21" s="851">
        <f t="shared" si="0"/>
        <v>0</v>
      </c>
      <c r="M21" s="341"/>
    </row>
    <row r="22" spans="1:13">
      <c r="A22" s="153"/>
      <c r="B22" s="852">
        <f>Efetivo!E19</f>
        <v>2</v>
      </c>
      <c r="C22" s="1182" t="str">
        <f>Efetivo!B19</f>
        <v>Vigilante Patrulha 10 Sistema 10 x 28 DIURNO</v>
      </c>
      <c r="D22" s="1182"/>
      <c r="E22" s="1182"/>
      <c r="F22" s="851">
        <f>Efetivo!T19</f>
        <v>0</v>
      </c>
      <c r="G22" s="851">
        <f>Efetivo!AC19</f>
        <v>0</v>
      </c>
      <c r="H22" s="851">
        <f>Efetivo!AK19</f>
        <v>0</v>
      </c>
      <c r="I22" s="851">
        <f>SUM(Efetivo!AE19+Efetivo!AO19+Efetivo!AQ19+Efetivo!BL19)</f>
        <v>0</v>
      </c>
      <c r="J22" s="1187">
        <f>Efetivo!AW19+Efetivo!AY19</f>
        <v>0</v>
      </c>
      <c r="K22" s="1188"/>
      <c r="L22" s="851">
        <f t="shared" si="0"/>
        <v>0</v>
      </c>
      <c r="M22" s="341"/>
    </row>
    <row r="23" spans="1:13">
      <c r="A23" s="153"/>
      <c r="B23" s="852">
        <f>Efetivo!E20</f>
        <v>2</v>
      </c>
      <c r="C23" s="1182" t="str">
        <f>Efetivo!B20</f>
        <v>Vigilante Patrulha 10 Sistema 10 x 28 NOTURNO</v>
      </c>
      <c r="D23" s="1182"/>
      <c r="E23" s="1182"/>
      <c r="F23" s="851">
        <f>Efetivo!T20</f>
        <v>0</v>
      </c>
      <c r="G23" s="851">
        <f>Efetivo!AC20</f>
        <v>0</v>
      </c>
      <c r="H23" s="851">
        <f>Efetivo!AK20</f>
        <v>0</v>
      </c>
      <c r="I23" s="851">
        <f>SUM(Efetivo!AE20+Efetivo!AO20+Efetivo!AQ20+Efetivo!BL20)</f>
        <v>0</v>
      </c>
      <c r="J23" s="1187">
        <f>Efetivo!AW20+Efetivo!AY20</f>
        <v>0</v>
      </c>
      <c r="K23" s="1188"/>
      <c r="L23" s="851">
        <f t="shared" si="0"/>
        <v>0</v>
      </c>
      <c r="M23" s="341"/>
    </row>
    <row r="24" spans="1:13">
      <c r="A24" s="153"/>
      <c r="B24" s="852">
        <f>Efetivo!E21</f>
        <v>1</v>
      </c>
      <c r="C24" s="1182" t="str">
        <f>Efetivo!B21</f>
        <v>Vigilante Patrulha 11 Supervisão DIURNO</v>
      </c>
      <c r="D24" s="1182"/>
      <c r="E24" s="1182"/>
      <c r="F24" s="851">
        <f>Efetivo!T21</f>
        <v>0</v>
      </c>
      <c r="G24" s="851">
        <f>Efetivo!AC21</f>
        <v>0</v>
      </c>
      <c r="H24" s="851">
        <f>Efetivo!AK21</f>
        <v>0</v>
      </c>
      <c r="I24" s="851">
        <f>SUM(Efetivo!AE21+Efetivo!AO21+Efetivo!AQ21+Efetivo!BL21)</f>
        <v>0</v>
      </c>
      <c r="J24" s="1187">
        <f>Efetivo!AW21+Efetivo!AY21</f>
        <v>0</v>
      </c>
      <c r="K24" s="1188"/>
      <c r="L24" s="851">
        <f t="shared" si="0"/>
        <v>0</v>
      </c>
      <c r="M24" s="341"/>
    </row>
    <row r="25" spans="1:13">
      <c r="A25" s="153"/>
      <c r="B25" s="852">
        <f>Efetivo!E22</f>
        <v>1</v>
      </c>
      <c r="C25" s="1182" t="str">
        <f>Efetivo!B22</f>
        <v>Vigilante Patrulha 11 Supervisão NOTURNO</v>
      </c>
      <c r="D25" s="1182"/>
      <c r="E25" s="1182"/>
      <c r="F25" s="851">
        <f>Efetivo!T22</f>
        <v>0</v>
      </c>
      <c r="G25" s="851">
        <f>Efetivo!AC22</f>
        <v>0</v>
      </c>
      <c r="H25" s="851">
        <f>Efetivo!AK22</f>
        <v>0</v>
      </c>
      <c r="I25" s="851">
        <f>SUM(Efetivo!AE22+Efetivo!AO22+Efetivo!AQ22+Efetivo!BL22)</f>
        <v>0</v>
      </c>
      <c r="J25" s="1187">
        <f>Efetivo!AW22+Efetivo!AY22</f>
        <v>0</v>
      </c>
      <c r="K25" s="1188"/>
      <c r="L25" s="851">
        <f t="shared" si="0"/>
        <v>0</v>
      </c>
      <c r="M25" s="341"/>
    </row>
    <row r="26" spans="1:13">
      <c r="A26" s="153"/>
      <c r="B26" s="852">
        <f>Efetivo!E23</f>
        <v>1</v>
      </c>
      <c r="C26" s="1182" t="str">
        <f>Efetivo!B23</f>
        <v>Supervisor Patrulha 11 Supervisão DIURNO</v>
      </c>
      <c r="D26" s="1182"/>
      <c r="E26" s="1182"/>
      <c r="F26" s="851">
        <f>Efetivo!T23</f>
        <v>0</v>
      </c>
      <c r="G26" s="851">
        <f>Efetivo!AC23</f>
        <v>0</v>
      </c>
      <c r="H26" s="851">
        <f>Efetivo!AK23</f>
        <v>0</v>
      </c>
      <c r="I26" s="851">
        <f>SUM(Efetivo!AE23+Efetivo!AO23+Efetivo!AQ23+Efetivo!BL23)</f>
        <v>0</v>
      </c>
      <c r="J26" s="1187">
        <f>Efetivo!AW23+Efetivo!AY23</f>
        <v>0</v>
      </c>
      <c r="K26" s="1188"/>
      <c r="L26" s="851">
        <f t="shared" si="0"/>
        <v>0</v>
      </c>
      <c r="M26" s="341"/>
    </row>
    <row r="27" spans="1:13">
      <c r="A27" s="153"/>
      <c r="B27" s="852">
        <f>Efetivo!E24</f>
        <v>1</v>
      </c>
      <c r="C27" s="1182" t="str">
        <f>Efetivo!B24</f>
        <v>Supervisor Patrulha 11 Supervisão NOTURNO</v>
      </c>
      <c r="D27" s="1182"/>
      <c r="E27" s="1182"/>
      <c r="F27" s="851">
        <f>Efetivo!T24</f>
        <v>0</v>
      </c>
      <c r="G27" s="851">
        <f>Efetivo!AC24</f>
        <v>0</v>
      </c>
      <c r="H27" s="851">
        <f>Efetivo!AK24</f>
        <v>0</v>
      </c>
      <c r="I27" s="851">
        <f>SUM(Efetivo!AE24+Efetivo!AO24+Efetivo!AQ24+Efetivo!BL24)</f>
        <v>0</v>
      </c>
      <c r="J27" s="1187">
        <f>Efetivo!AW24+Efetivo!AY24</f>
        <v>0</v>
      </c>
      <c r="K27" s="1188"/>
      <c r="L27" s="851">
        <f t="shared" si="0"/>
        <v>0</v>
      </c>
      <c r="M27" s="341"/>
    </row>
    <row r="28" spans="1:13">
      <c r="A28" s="153"/>
      <c r="B28" s="852">
        <f>Efetivo!E25</f>
        <v>0</v>
      </c>
      <c r="C28" s="1182">
        <f>Efetivo!B25</f>
        <v>0</v>
      </c>
      <c r="D28" s="1182"/>
      <c r="E28" s="1182"/>
      <c r="F28" s="851">
        <f>Efetivo!T25</f>
        <v>0</v>
      </c>
      <c r="G28" s="851">
        <f>Efetivo!AC25</f>
        <v>0</v>
      </c>
      <c r="H28" s="851">
        <f>Efetivo!AK25</f>
        <v>0</v>
      </c>
      <c r="I28" s="851">
        <f>SUM(Efetivo!AE25+Efetivo!AO25+Efetivo!AQ25+Efetivo!BL25)</f>
        <v>0</v>
      </c>
      <c r="J28" s="1187">
        <f>Efetivo!AW25+Efetivo!AY25</f>
        <v>0</v>
      </c>
      <c r="K28" s="1188"/>
      <c r="L28" s="851">
        <f t="shared" si="0"/>
        <v>0</v>
      </c>
      <c r="M28" s="341"/>
    </row>
    <row r="29" spans="1:13">
      <c r="A29" s="153"/>
      <c r="B29" s="852">
        <f>Efetivo!E26</f>
        <v>0</v>
      </c>
      <c r="C29" s="1182">
        <f>Efetivo!B26</f>
        <v>0</v>
      </c>
      <c r="D29" s="1182"/>
      <c r="E29" s="1182"/>
      <c r="F29" s="851">
        <f>Efetivo!T26</f>
        <v>0</v>
      </c>
      <c r="G29" s="851">
        <f>Efetivo!AC26</f>
        <v>0</v>
      </c>
      <c r="H29" s="851">
        <f>Efetivo!AK26</f>
        <v>0</v>
      </c>
      <c r="I29" s="851">
        <f>SUM(Efetivo!AE26+Efetivo!AO26+Efetivo!AQ26+Efetivo!BL26)</f>
        <v>0</v>
      </c>
      <c r="J29" s="1187">
        <f>Efetivo!AW26+Efetivo!AY26</f>
        <v>0</v>
      </c>
      <c r="K29" s="1188"/>
      <c r="L29" s="851">
        <f t="shared" si="0"/>
        <v>0</v>
      </c>
      <c r="M29" s="341"/>
    </row>
    <row r="30" spans="1:13" hidden="1">
      <c r="A30" s="153"/>
      <c r="B30" s="852">
        <f>Efetivo!E27</f>
        <v>0</v>
      </c>
      <c r="C30" s="1182">
        <f>Efetivo!B27</f>
        <v>0</v>
      </c>
      <c r="D30" s="1182"/>
      <c r="E30" s="1182"/>
      <c r="F30" s="851">
        <f>Efetivo!T27</f>
        <v>0</v>
      </c>
      <c r="G30" s="851">
        <f>Efetivo!AC27</f>
        <v>0</v>
      </c>
      <c r="H30" s="851">
        <f>Efetivo!AK27</f>
        <v>0</v>
      </c>
      <c r="I30" s="851">
        <f>SUM(Efetivo!AE27+Efetivo!AO27+Efetivo!AQ27+Efetivo!BL27)</f>
        <v>0</v>
      </c>
      <c r="J30" s="1187">
        <f>Efetivo!AW27+Efetivo!AY27</f>
        <v>0</v>
      </c>
      <c r="K30" s="1188"/>
      <c r="L30" s="851">
        <f t="shared" si="0"/>
        <v>0</v>
      </c>
      <c r="M30" s="341"/>
    </row>
    <row r="31" spans="1:13" hidden="1">
      <c r="A31" s="153"/>
      <c r="B31" s="852">
        <f>Efetivo!E28</f>
        <v>0</v>
      </c>
      <c r="C31" s="1182">
        <f>Efetivo!B28</f>
        <v>0</v>
      </c>
      <c r="D31" s="1182"/>
      <c r="E31" s="1182"/>
      <c r="F31" s="851">
        <f>Efetivo!T28</f>
        <v>0</v>
      </c>
      <c r="G31" s="851">
        <f>Efetivo!AC28</f>
        <v>0</v>
      </c>
      <c r="H31" s="851">
        <f>Efetivo!AK28</f>
        <v>0</v>
      </c>
      <c r="I31" s="851">
        <f>SUM(Efetivo!AE28+Efetivo!AO28+Efetivo!AQ28+Efetivo!BL28)</f>
        <v>0</v>
      </c>
      <c r="J31" s="1187">
        <f>Efetivo!AW28+Efetivo!AY28</f>
        <v>0</v>
      </c>
      <c r="K31" s="1188"/>
      <c r="L31" s="851">
        <f t="shared" si="0"/>
        <v>0</v>
      </c>
      <c r="M31" s="341"/>
    </row>
    <row r="32" spans="1:13" hidden="1">
      <c r="A32" s="153"/>
      <c r="B32" s="852">
        <f>Efetivo!E29</f>
        <v>0</v>
      </c>
      <c r="C32" s="1182">
        <f>Efetivo!B29</f>
        <v>0</v>
      </c>
      <c r="D32" s="1182"/>
      <c r="E32" s="1182"/>
      <c r="F32" s="851">
        <f>Efetivo!T29</f>
        <v>0</v>
      </c>
      <c r="G32" s="851">
        <f>Efetivo!AC29</f>
        <v>0</v>
      </c>
      <c r="H32" s="851">
        <f>Efetivo!AK29</f>
        <v>0</v>
      </c>
      <c r="I32" s="851">
        <f>SUM(Efetivo!AE29+Efetivo!AO29+Efetivo!AQ29+Efetivo!BL29)</f>
        <v>0</v>
      </c>
      <c r="J32" s="1187">
        <f>Efetivo!AW29+Efetivo!AY29</f>
        <v>0</v>
      </c>
      <c r="K32" s="1188"/>
      <c r="L32" s="851">
        <f t="shared" si="0"/>
        <v>0</v>
      </c>
      <c r="M32" s="341"/>
    </row>
    <row r="33" spans="1:13" hidden="1">
      <c r="A33" s="153"/>
      <c r="B33" s="852">
        <f>Efetivo!E30</f>
        <v>0</v>
      </c>
      <c r="C33" s="1182">
        <f>Efetivo!B30</f>
        <v>0</v>
      </c>
      <c r="D33" s="1182"/>
      <c r="E33" s="1182"/>
      <c r="F33" s="851">
        <f>Efetivo!T30</f>
        <v>0</v>
      </c>
      <c r="G33" s="851">
        <f>Efetivo!AC30</f>
        <v>0</v>
      </c>
      <c r="H33" s="851">
        <f>Efetivo!AK30</f>
        <v>0</v>
      </c>
      <c r="I33" s="851">
        <f>SUM(Efetivo!AE30+Efetivo!AO30+Efetivo!AQ30+Efetivo!BL30)</f>
        <v>0</v>
      </c>
      <c r="J33" s="1187">
        <f>Efetivo!AW30+Efetivo!AY30</f>
        <v>0</v>
      </c>
      <c r="K33" s="1188"/>
      <c r="L33" s="851">
        <f t="shared" si="0"/>
        <v>0</v>
      </c>
      <c r="M33" s="341"/>
    </row>
    <row r="34" spans="1:13" hidden="1">
      <c r="A34" s="153"/>
      <c r="B34" s="852">
        <f>Efetivo!E31</f>
        <v>0</v>
      </c>
      <c r="C34" s="1182">
        <f>Efetivo!B31</f>
        <v>0</v>
      </c>
      <c r="D34" s="1182"/>
      <c r="E34" s="1182"/>
      <c r="F34" s="851">
        <f>Efetivo!T31</f>
        <v>0</v>
      </c>
      <c r="G34" s="851">
        <f>Efetivo!AC31</f>
        <v>0</v>
      </c>
      <c r="H34" s="851">
        <f>Efetivo!AK31</f>
        <v>0</v>
      </c>
      <c r="I34" s="851">
        <f>SUM(Efetivo!AE31+Efetivo!AO31+Efetivo!AQ31+Efetivo!BL31)</f>
        <v>0</v>
      </c>
      <c r="J34" s="1187">
        <f>Efetivo!AW31+Efetivo!AY31</f>
        <v>0</v>
      </c>
      <c r="K34" s="1188"/>
      <c r="L34" s="851">
        <f t="shared" si="0"/>
        <v>0</v>
      </c>
      <c r="M34" s="341"/>
    </row>
    <row r="35" spans="1:13" hidden="1">
      <c r="A35" s="153"/>
      <c r="B35" s="852">
        <f>Efetivo!E32</f>
        <v>0</v>
      </c>
      <c r="C35" s="1182">
        <f>Efetivo!B32</f>
        <v>0</v>
      </c>
      <c r="D35" s="1182"/>
      <c r="E35" s="1182"/>
      <c r="F35" s="851">
        <f>Efetivo!T32</f>
        <v>0</v>
      </c>
      <c r="G35" s="851">
        <f>Efetivo!AC32</f>
        <v>0</v>
      </c>
      <c r="H35" s="851">
        <f>Efetivo!AK32</f>
        <v>0</v>
      </c>
      <c r="I35" s="851">
        <f>SUM(Efetivo!AE32+Efetivo!AO32+Efetivo!AQ32+Efetivo!BL32)</f>
        <v>0</v>
      </c>
      <c r="J35" s="1187">
        <f>Efetivo!AW32+Efetivo!AY32</f>
        <v>0</v>
      </c>
      <c r="K35" s="1188"/>
      <c r="L35" s="851">
        <f t="shared" si="0"/>
        <v>0</v>
      </c>
      <c r="M35" s="341"/>
    </row>
    <row r="36" spans="1:13" hidden="1">
      <c r="A36" s="153"/>
      <c r="B36" s="852">
        <f>Efetivo!E33</f>
        <v>0</v>
      </c>
      <c r="C36" s="1182">
        <f>Efetivo!B33</f>
        <v>0</v>
      </c>
      <c r="D36" s="1182"/>
      <c r="E36" s="1182"/>
      <c r="F36" s="851">
        <f>Efetivo!T33</f>
        <v>0</v>
      </c>
      <c r="G36" s="851">
        <f>Efetivo!AC33</f>
        <v>0</v>
      </c>
      <c r="H36" s="851">
        <f>Efetivo!AK33</f>
        <v>0</v>
      </c>
      <c r="I36" s="851">
        <f>SUM(Efetivo!AE33+Efetivo!AO33+Efetivo!AQ33+Efetivo!BL33)</f>
        <v>0</v>
      </c>
      <c r="J36" s="1187">
        <f>Efetivo!AW33+Efetivo!AY33</f>
        <v>0</v>
      </c>
      <c r="K36" s="1188"/>
      <c r="L36" s="851">
        <f t="shared" si="0"/>
        <v>0</v>
      </c>
      <c r="M36" s="341"/>
    </row>
    <row r="37" spans="1:13" hidden="1">
      <c r="A37" s="153"/>
      <c r="B37" s="852">
        <f>Efetivo!E34</f>
        <v>0</v>
      </c>
      <c r="C37" s="1182">
        <f>Efetivo!B34</f>
        <v>0</v>
      </c>
      <c r="D37" s="1182"/>
      <c r="E37" s="1182"/>
      <c r="F37" s="851">
        <f>Efetivo!T34</f>
        <v>0</v>
      </c>
      <c r="G37" s="851">
        <f>Efetivo!AC34</f>
        <v>0</v>
      </c>
      <c r="H37" s="851">
        <f>Efetivo!AK34</f>
        <v>0</v>
      </c>
      <c r="I37" s="851">
        <f>SUM(Efetivo!AE34+Efetivo!AO34+Efetivo!AQ34+Efetivo!BL34)</f>
        <v>0</v>
      </c>
      <c r="J37" s="1187">
        <f>Efetivo!AW34+Efetivo!AY34</f>
        <v>0</v>
      </c>
      <c r="K37" s="1188"/>
      <c r="L37" s="851">
        <f t="shared" si="0"/>
        <v>0</v>
      </c>
      <c r="M37" s="341"/>
    </row>
    <row r="38" spans="1:13" hidden="1">
      <c r="A38" s="153"/>
      <c r="B38" s="852">
        <f>Efetivo!E35</f>
        <v>0</v>
      </c>
      <c r="C38" s="1182">
        <f>Efetivo!B35</f>
        <v>0</v>
      </c>
      <c r="D38" s="1182"/>
      <c r="E38" s="1182"/>
      <c r="F38" s="851">
        <f>Efetivo!T35</f>
        <v>0</v>
      </c>
      <c r="G38" s="851">
        <f>Efetivo!AC35</f>
        <v>0</v>
      </c>
      <c r="H38" s="851">
        <f>Efetivo!AK35</f>
        <v>0</v>
      </c>
      <c r="I38" s="851">
        <f>SUM(Efetivo!AE35+Efetivo!AO35+Efetivo!AQ35+Efetivo!BL35)</f>
        <v>0</v>
      </c>
      <c r="J38" s="1187">
        <f>Efetivo!AW35+Efetivo!AY35</f>
        <v>0</v>
      </c>
      <c r="K38" s="1188"/>
      <c r="L38" s="851">
        <f t="shared" si="0"/>
        <v>0</v>
      </c>
      <c r="M38" s="341"/>
    </row>
    <row r="39" spans="1:13" hidden="1">
      <c r="A39" s="153"/>
      <c r="B39" s="852">
        <f>Efetivo!E36</f>
        <v>0</v>
      </c>
      <c r="C39" s="1182">
        <f>Efetivo!B36</f>
        <v>0</v>
      </c>
      <c r="D39" s="1182"/>
      <c r="E39" s="1182"/>
      <c r="F39" s="851">
        <f>Efetivo!T36</f>
        <v>0</v>
      </c>
      <c r="G39" s="851">
        <f>Efetivo!AC36</f>
        <v>0</v>
      </c>
      <c r="H39" s="851">
        <f>Efetivo!AK36</f>
        <v>0</v>
      </c>
      <c r="I39" s="851">
        <f>SUM(Efetivo!AE36+Efetivo!AO36+Efetivo!AQ36+Efetivo!BL36)</f>
        <v>0</v>
      </c>
      <c r="J39" s="1187">
        <f>Efetivo!AW36+Efetivo!AY36</f>
        <v>0</v>
      </c>
      <c r="K39" s="1188"/>
      <c r="L39" s="851">
        <f t="shared" si="0"/>
        <v>0</v>
      </c>
      <c r="M39" s="341"/>
    </row>
    <row r="40" spans="1:13" hidden="1">
      <c r="A40" s="153"/>
      <c r="B40" s="852">
        <f>Efetivo!E37</f>
        <v>0</v>
      </c>
      <c r="C40" s="1182">
        <f>Efetivo!B37</f>
        <v>0</v>
      </c>
      <c r="D40" s="1182"/>
      <c r="E40" s="1182"/>
      <c r="F40" s="851">
        <f>Efetivo!T37</f>
        <v>0</v>
      </c>
      <c r="G40" s="851">
        <f>Efetivo!AC37</f>
        <v>0</v>
      </c>
      <c r="H40" s="851">
        <f>Efetivo!AK37</f>
        <v>0</v>
      </c>
      <c r="I40" s="851">
        <f>SUM(Efetivo!AE37+Efetivo!AO37+Efetivo!AQ37+Efetivo!BL37)</f>
        <v>0</v>
      </c>
      <c r="J40" s="1187">
        <f>Efetivo!AW37+Efetivo!AY37</f>
        <v>0</v>
      </c>
      <c r="K40" s="1188"/>
      <c r="L40" s="851">
        <f t="shared" si="0"/>
        <v>0</v>
      </c>
      <c r="M40" s="341"/>
    </row>
    <row r="41" spans="1:13" hidden="1">
      <c r="A41" s="153"/>
      <c r="B41" s="852">
        <f>Efetivo!E38</f>
        <v>0</v>
      </c>
      <c r="C41" s="1182">
        <f>Efetivo!B38</f>
        <v>0</v>
      </c>
      <c r="D41" s="1182"/>
      <c r="E41" s="1182"/>
      <c r="F41" s="851">
        <f>Efetivo!T38</f>
        <v>0</v>
      </c>
      <c r="G41" s="851">
        <f>Efetivo!AC38</f>
        <v>0</v>
      </c>
      <c r="H41" s="851">
        <f>Efetivo!AK38</f>
        <v>0</v>
      </c>
      <c r="I41" s="851">
        <f>SUM(Efetivo!AE38+Efetivo!AO38+Efetivo!AQ38+Efetivo!BL38)</f>
        <v>0</v>
      </c>
      <c r="J41" s="1187">
        <f>Efetivo!AW38+Efetivo!AY38</f>
        <v>0</v>
      </c>
      <c r="K41" s="1188"/>
      <c r="L41" s="851">
        <f t="shared" si="0"/>
        <v>0</v>
      </c>
      <c r="M41" s="341"/>
    </row>
    <row r="42" spans="1:13" hidden="1">
      <c r="A42" s="153"/>
      <c r="B42" s="852">
        <f>Efetivo!E39</f>
        <v>0</v>
      </c>
      <c r="C42" s="1182">
        <f>Efetivo!B39</f>
        <v>0</v>
      </c>
      <c r="D42" s="1182"/>
      <c r="E42" s="1182"/>
      <c r="F42" s="851">
        <f>Efetivo!T39</f>
        <v>0</v>
      </c>
      <c r="G42" s="851">
        <f>Efetivo!AC39</f>
        <v>0</v>
      </c>
      <c r="H42" s="851">
        <f>Efetivo!AK39</f>
        <v>0</v>
      </c>
      <c r="I42" s="851">
        <f>SUM(Efetivo!AE39+Efetivo!AO39+Efetivo!AQ39+Efetivo!BL39)</f>
        <v>0</v>
      </c>
      <c r="J42" s="1187">
        <f>Efetivo!AW39+Efetivo!AY39</f>
        <v>0</v>
      </c>
      <c r="K42" s="1188"/>
      <c r="L42" s="851">
        <f t="shared" si="0"/>
        <v>0</v>
      </c>
      <c r="M42" s="341"/>
    </row>
    <row r="43" spans="1:13" ht="13.5" hidden="1" customHeight="1">
      <c r="A43" s="153"/>
      <c r="B43" s="852">
        <f>Efetivo!E40</f>
        <v>0</v>
      </c>
      <c r="C43" s="1182">
        <f>Efetivo!B40</f>
        <v>0</v>
      </c>
      <c r="D43" s="1182"/>
      <c r="E43" s="1182"/>
      <c r="F43" s="851">
        <f>Efetivo!T40</f>
        <v>0</v>
      </c>
      <c r="G43" s="851">
        <f>Efetivo!AC40</f>
        <v>0</v>
      </c>
      <c r="H43" s="851">
        <f>Efetivo!AK40</f>
        <v>0</v>
      </c>
      <c r="I43" s="851">
        <f>SUM(Efetivo!AE40+Efetivo!AO40+Efetivo!AQ40+Efetivo!BL40)</f>
        <v>0</v>
      </c>
      <c r="J43" s="1187">
        <f>Efetivo!AW40+Efetivo!AY40</f>
        <v>0</v>
      </c>
      <c r="K43" s="1188"/>
      <c r="L43" s="851">
        <f t="shared" si="0"/>
        <v>0</v>
      </c>
      <c r="M43" s="341"/>
    </row>
    <row r="44" spans="1:13" hidden="1">
      <c r="A44" s="153"/>
      <c r="B44" s="852">
        <f>Efetivo!E41</f>
        <v>0</v>
      </c>
      <c r="C44" s="1182">
        <f>Efetivo!B41</f>
        <v>0</v>
      </c>
      <c r="D44" s="1182"/>
      <c r="E44" s="1182"/>
      <c r="F44" s="851">
        <f>Efetivo!T41</f>
        <v>0</v>
      </c>
      <c r="G44" s="851">
        <f>Efetivo!AC41</f>
        <v>0</v>
      </c>
      <c r="H44" s="851">
        <f>Efetivo!AK41</f>
        <v>0</v>
      </c>
      <c r="I44" s="851">
        <f>SUM(Efetivo!AE41+Efetivo!AO41+Efetivo!AQ41+Efetivo!BL41)</f>
        <v>0</v>
      </c>
      <c r="J44" s="1187">
        <f>Efetivo!AW41+Efetivo!AY41</f>
        <v>0</v>
      </c>
      <c r="K44" s="1188"/>
      <c r="L44" s="851">
        <f t="shared" si="0"/>
        <v>0</v>
      </c>
      <c r="M44" s="341"/>
    </row>
    <row r="45" spans="1:13" hidden="1">
      <c r="A45" s="153"/>
      <c r="B45" s="852">
        <f>Efetivo!E42</f>
        <v>0</v>
      </c>
      <c r="C45" s="1182">
        <f>Efetivo!B42</f>
        <v>0</v>
      </c>
      <c r="D45" s="1182"/>
      <c r="E45" s="1182"/>
      <c r="F45" s="851">
        <f>Efetivo!T42</f>
        <v>0</v>
      </c>
      <c r="G45" s="851">
        <f>Efetivo!AC42</f>
        <v>0</v>
      </c>
      <c r="H45" s="851">
        <f>Efetivo!AK42</f>
        <v>0</v>
      </c>
      <c r="I45" s="851">
        <f>SUM(Efetivo!AE42+Efetivo!AO42+Efetivo!AQ42+Efetivo!BL42)</f>
        <v>0</v>
      </c>
      <c r="J45" s="1187">
        <f>Efetivo!AW42+Efetivo!AY42</f>
        <v>0</v>
      </c>
      <c r="K45" s="1188"/>
      <c r="L45" s="851">
        <f t="shared" si="0"/>
        <v>0</v>
      </c>
      <c r="M45" s="341"/>
    </row>
    <row r="46" spans="1:13" hidden="1">
      <c r="A46" s="153"/>
      <c r="B46" s="852">
        <f>Efetivo!E43</f>
        <v>0</v>
      </c>
      <c r="C46" s="1182">
        <f>Efetivo!B43</f>
        <v>0</v>
      </c>
      <c r="D46" s="1182"/>
      <c r="E46" s="1182"/>
      <c r="F46" s="851">
        <f>Efetivo!T43</f>
        <v>0</v>
      </c>
      <c r="G46" s="851">
        <f>Efetivo!AC43</f>
        <v>0</v>
      </c>
      <c r="H46" s="851">
        <f>Efetivo!AK43</f>
        <v>0</v>
      </c>
      <c r="I46" s="851">
        <f>SUM(Efetivo!AE43+Efetivo!AO43+Efetivo!AQ43+Efetivo!BL43)</f>
        <v>0</v>
      </c>
      <c r="J46" s="1187">
        <f>Efetivo!AW43+Efetivo!AY43</f>
        <v>0</v>
      </c>
      <c r="K46" s="1188"/>
      <c r="L46" s="851">
        <f t="shared" si="0"/>
        <v>0</v>
      </c>
      <c r="M46" s="341"/>
    </row>
    <row r="47" spans="1:13" hidden="1">
      <c r="A47" s="153"/>
      <c r="B47" s="852">
        <f>Efetivo!E44</f>
        <v>0</v>
      </c>
      <c r="C47" s="1182">
        <f>Efetivo!B44</f>
        <v>0</v>
      </c>
      <c r="D47" s="1182"/>
      <c r="E47" s="1182"/>
      <c r="F47" s="851">
        <f>Efetivo!T44</f>
        <v>0</v>
      </c>
      <c r="G47" s="851">
        <f>Efetivo!AC44</f>
        <v>0</v>
      </c>
      <c r="H47" s="851">
        <f>Efetivo!AK44</f>
        <v>0</v>
      </c>
      <c r="I47" s="851">
        <f>SUM(Efetivo!AE44+Efetivo!AO44+Efetivo!AQ44+Efetivo!BL44)</f>
        <v>0</v>
      </c>
      <c r="J47" s="1187">
        <f>Efetivo!AW44+Efetivo!AY44</f>
        <v>0</v>
      </c>
      <c r="K47" s="1188"/>
      <c r="L47" s="851">
        <f t="shared" si="0"/>
        <v>0</v>
      </c>
      <c r="M47" s="341"/>
    </row>
    <row r="48" spans="1:13" hidden="1">
      <c r="A48" s="153"/>
      <c r="B48" s="852">
        <f>Efetivo!E45</f>
        <v>0</v>
      </c>
      <c r="C48" s="1182">
        <f>Efetivo!B45</f>
        <v>0</v>
      </c>
      <c r="D48" s="1182"/>
      <c r="E48" s="1182"/>
      <c r="F48" s="851">
        <f>Efetivo!T45</f>
        <v>0</v>
      </c>
      <c r="G48" s="851">
        <f>Efetivo!AC45</f>
        <v>0</v>
      </c>
      <c r="H48" s="851">
        <f>Efetivo!AK45</f>
        <v>0</v>
      </c>
      <c r="I48" s="851">
        <f>SUM(Efetivo!AE45+Efetivo!AO45+Efetivo!AQ45+Efetivo!BL45)</f>
        <v>0</v>
      </c>
      <c r="J48" s="1187">
        <f>Efetivo!AW45+Efetivo!AY45</f>
        <v>0</v>
      </c>
      <c r="K48" s="1188"/>
      <c r="L48" s="851">
        <f t="shared" si="0"/>
        <v>0</v>
      </c>
      <c r="M48" s="341"/>
    </row>
    <row r="49" spans="1:13" hidden="1">
      <c r="A49" s="153"/>
      <c r="B49" s="852">
        <f>Efetivo!E46</f>
        <v>0</v>
      </c>
      <c r="C49" s="1182">
        <f>Efetivo!B46</f>
        <v>0</v>
      </c>
      <c r="D49" s="1182"/>
      <c r="E49" s="1182"/>
      <c r="F49" s="851">
        <f>Efetivo!T46</f>
        <v>0</v>
      </c>
      <c r="G49" s="851">
        <f>Efetivo!AC46</f>
        <v>0</v>
      </c>
      <c r="H49" s="851">
        <f>Efetivo!AK46</f>
        <v>0</v>
      </c>
      <c r="I49" s="851">
        <f>SUM(Efetivo!AE46+Efetivo!AO46+Efetivo!AQ46+Efetivo!BL46)</f>
        <v>0</v>
      </c>
      <c r="J49" s="1187">
        <f>Efetivo!AW46+Efetivo!AY46</f>
        <v>0</v>
      </c>
      <c r="K49" s="1188"/>
      <c r="L49" s="851">
        <f t="shared" si="0"/>
        <v>0</v>
      </c>
      <c r="M49" s="341"/>
    </row>
    <row r="50" spans="1:13" hidden="1">
      <c r="A50" s="153"/>
      <c r="B50" s="852">
        <f>Efetivo!E47</f>
        <v>0</v>
      </c>
      <c r="C50" s="1182">
        <f>Efetivo!B47</f>
        <v>0</v>
      </c>
      <c r="D50" s="1182"/>
      <c r="E50" s="1182"/>
      <c r="F50" s="851">
        <f>Efetivo!T47</f>
        <v>0</v>
      </c>
      <c r="G50" s="851">
        <f>Efetivo!AC47</f>
        <v>0</v>
      </c>
      <c r="H50" s="851">
        <f>Efetivo!AK47</f>
        <v>0</v>
      </c>
      <c r="I50" s="851">
        <f>SUM(Efetivo!AE47+Efetivo!AO47+Efetivo!AQ47+Efetivo!BL47)</f>
        <v>0</v>
      </c>
      <c r="J50" s="1187">
        <f>Efetivo!AW47+Efetivo!AY47</f>
        <v>0</v>
      </c>
      <c r="K50" s="1188"/>
      <c r="L50" s="851">
        <f t="shared" si="0"/>
        <v>0</v>
      </c>
      <c r="M50" s="341"/>
    </row>
    <row r="51" spans="1:13" hidden="1">
      <c r="A51" s="153"/>
      <c r="B51" s="852">
        <f>Efetivo!E48</f>
        <v>0</v>
      </c>
      <c r="C51" s="1182">
        <f>Efetivo!B48</f>
        <v>0</v>
      </c>
      <c r="D51" s="1182"/>
      <c r="E51" s="1182"/>
      <c r="F51" s="851">
        <f>Efetivo!T48</f>
        <v>0</v>
      </c>
      <c r="G51" s="851">
        <f>Efetivo!AC48</f>
        <v>0</v>
      </c>
      <c r="H51" s="851">
        <f>Efetivo!AK48</f>
        <v>0</v>
      </c>
      <c r="I51" s="851">
        <f>SUM(Efetivo!AE48+Efetivo!AO48+Efetivo!AQ48+Efetivo!BL48)</f>
        <v>0</v>
      </c>
      <c r="J51" s="1187">
        <f>Efetivo!AW48+Efetivo!AY48</f>
        <v>0</v>
      </c>
      <c r="K51" s="1188"/>
      <c r="L51" s="851">
        <f t="shared" si="0"/>
        <v>0</v>
      </c>
      <c r="M51" s="341"/>
    </row>
    <row r="52" spans="1:13" hidden="1">
      <c r="A52" s="153"/>
      <c r="B52" s="852">
        <f>Efetivo!E49</f>
        <v>0</v>
      </c>
      <c r="C52" s="1182">
        <f>Efetivo!B49</f>
        <v>0</v>
      </c>
      <c r="D52" s="1182"/>
      <c r="E52" s="1182"/>
      <c r="F52" s="851">
        <f>Efetivo!T49</f>
        <v>0</v>
      </c>
      <c r="G52" s="851">
        <f>Efetivo!AC49</f>
        <v>0</v>
      </c>
      <c r="H52" s="851">
        <f>Efetivo!AK49</f>
        <v>0</v>
      </c>
      <c r="I52" s="851">
        <f>SUM(Efetivo!AE49+Efetivo!AO49+Efetivo!AQ49+Efetivo!BL49)</f>
        <v>0</v>
      </c>
      <c r="J52" s="1187">
        <f>Efetivo!AW49+Efetivo!AY49</f>
        <v>0</v>
      </c>
      <c r="K52" s="1188"/>
      <c r="L52" s="851">
        <f t="shared" si="0"/>
        <v>0</v>
      </c>
      <c r="M52" s="341"/>
    </row>
    <row r="53" spans="1:13" hidden="1">
      <c r="A53" s="153"/>
      <c r="B53" s="852">
        <f>Efetivo!E50</f>
        <v>0</v>
      </c>
      <c r="C53" s="1182">
        <f>Efetivo!B50</f>
        <v>0</v>
      </c>
      <c r="D53" s="1182"/>
      <c r="E53" s="1182"/>
      <c r="F53" s="851">
        <f>Efetivo!T50</f>
        <v>0</v>
      </c>
      <c r="G53" s="851">
        <f>Efetivo!AC50</f>
        <v>0</v>
      </c>
      <c r="H53" s="851">
        <f>Efetivo!AK50</f>
        <v>0</v>
      </c>
      <c r="I53" s="851">
        <f>SUM(Efetivo!AE50+Efetivo!AO50+Efetivo!AQ50+Efetivo!BL50)</f>
        <v>0</v>
      </c>
      <c r="J53" s="1187">
        <f>Efetivo!AW50+Efetivo!AY50</f>
        <v>0</v>
      </c>
      <c r="K53" s="1188"/>
      <c r="L53" s="851">
        <f t="shared" si="0"/>
        <v>0</v>
      </c>
      <c r="M53" s="341"/>
    </row>
    <row r="54" spans="1:13" hidden="1">
      <c r="A54" s="153"/>
      <c r="B54" s="852">
        <f>Efetivo!E51</f>
        <v>0</v>
      </c>
      <c r="C54" s="1182">
        <f>Efetivo!B51</f>
        <v>0</v>
      </c>
      <c r="D54" s="1182"/>
      <c r="E54" s="1182"/>
      <c r="F54" s="851">
        <f>Efetivo!T51</f>
        <v>0</v>
      </c>
      <c r="G54" s="851">
        <f>Efetivo!AC51</f>
        <v>0</v>
      </c>
      <c r="H54" s="851">
        <f>Efetivo!AK51</f>
        <v>0</v>
      </c>
      <c r="I54" s="851">
        <f>SUM(Efetivo!AE51+Efetivo!AO51+Efetivo!AQ51+Efetivo!BL51)</f>
        <v>0</v>
      </c>
      <c r="J54" s="1187">
        <f>Efetivo!AW51+Efetivo!AY51</f>
        <v>0</v>
      </c>
      <c r="K54" s="1188"/>
      <c r="L54" s="851">
        <f t="shared" si="0"/>
        <v>0</v>
      </c>
      <c r="M54" s="341"/>
    </row>
    <row r="55" spans="1:13" hidden="1">
      <c r="A55" s="153"/>
      <c r="B55" s="852">
        <f>Efetivo!E52</f>
        <v>0</v>
      </c>
      <c r="C55" s="1182">
        <f>Efetivo!B52</f>
        <v>0</v>
      </c>
      <c r="D55" s="1182"/>
      <c r="E55" s="1182"/>
      <c r="F55" s="851">
        <f>Efetivo!T52</f>
        <v>0</v>
      </c>
      <c r="G55" s="851">
        <f>Efetivo!AC52</f>
        <v>0</v>
      </c>
      <c r="H55" s="851">
        <f>Efetivo!AK52</f>
        <v>0</v>
      </c>
      <c r="I55" s="851">
        <f>SUM(Efetivo!AE52+Efetivo!AO52+Efetivo!AQ52+Efetivo!BL52)</f>
        <v>0</v>
      </c>
      <c r="J55" s="1187">
        <f>Efetivo!AW52+Efetivo!AY52</f>
        <v>0</v>
      </c>
      <c r="K55" s="1188"/>
      <c r="L55" s="851">
        <f t="shared" si="0"/>
        <v>0</v>
      </c>
      <c r="M55" s="341"/>
    </row>
    <row r="56" spans="1:13" hidden="1">
      <c r="A56" s="153"/>
      <c r="B56" s="852">
        <f>Efetivo!E53</f>
        <v>0</v>
      </c>
      <c r="C56" s="1182">
        <f>Efetivo!B53</f>
        <v>0</v>
      </c>
      <c r="D56" s="1182"/>
      <c r="E56" s="1182"/>
      <c r="F56" s="851">
        <f>Efetivo!T53</f>
        <v>0</v>
      </c>
      <c r="G56" s="851">
        <f>Efetivo!AC53</f>
        <v>0</v>
      </c>
      <c r="H56" s="851">
        <f>Efetivo!AK53</f>
        <v>0</v>
      </c>
      <c r="I56" s="851">
        <f>SUM(Efetivo!AE53+Efetivo!AO53+Efetivo!AQ53+Efetivo!BL53)</f>
        <v>0</v>
      </c>
      <c r="J56" s="1187">
        <f>Efetivo!AW53+Efetivo!AY53</f>
        <v>0</v>
      </c>
      <c r="K56" s="1188"/>
      <c r="L56" s="851">
        <f t="shared" si="0"/>
        <v>0</v>
      </c>
      <c r="M56" s="341"/>
    </row>
    <row r="57" spans="1:13" hidden="1">
      <c r="A57" s="153"/>
      <c r="B57" s="852">
        <f>Efetivo!E54</f>
        <v>0</v>
      </c>
      <c r="C57" s="1182">
        <f>Efetivo!B54</f>
        <v>0</v>
      </c>
      <c r="D57" s="1182"/>
      <c r="E57" s="1182"/>
      <c r="F57" s="851">
        <f>Efetivo!T54</f>
        <v>0</v>
      </c>
      <c r="G57" s="851">
        <f>Efetivo!AC54</f>
        <v>0</v>
      </c>
      <c r="H57" s="851">
        <f>Efetivo!AK54</f>
        <v>0</v>
      </c>
      <c r="I57" s="851">
        <f>SUM(Efetivo!AE54+Efetivo!AO54+Efetivo!AQ54+Efetivo!BL54)</f>
        <v>0</v>
      </c>
      <c r="J57" s="1187">
        <f>Efetivo!AW54+Efetivo!AY54</f>
        <v>0</v>
      </c>
      <c r="K57" s="1188"/>
      <c r="L57" s="851">
        <f t="shared" si="0"/>
        <v>0</v>
      </c>
      <c r="M57" s="341"/>
    </row>
    <row r="58" spans="1:13" hidden="1">
      <c r="A58" s="153"/>
      <c r="B58" s="852">
        <f>Efetivo!E55</f>
        <v>0</v>
      </c>
      <c r="C58" s="1182">
        <f>Efetivo!B55</f>
        <v>0</v>
      </c>
      <c r="D58" s="1182"/>
      <c r="E58" s="1182"/>
      <c r="F58" s="851">
        <f>Efetivo!T55</f>
        <v>0</v>
      </c>
      <c r="G58" s="851">
        <f>Efetivo!AC55</f>
        <v>0</v>
      </c>
      <c r="H58" s="851">
        <f>Efetivo!AK55</f>
        <v>0</v>
      </c>
      <c r="I58" s="851">
        <f>SUM(Efetivo!AE55+Efetivo!AO55+Efetivo!AQ55+Efetivo!BL55)</f>
        <v>0</v>
      </c>
      <c r="J58" s="1187">
        <f>Efetivo!AW55+Efetivo!AY55</f>
        <v>0</v>
      </c>
      <c r="K58" s="1188"/>
      <c r="L58" s="851">
        <f t="shared" si="0"/>
        <v>0</v>
      </c>
      <c r="M58" s="341"/>
    </row>
    <row r="59" spans="1:13" hidden="1">
      <c r="A59" s="153"/>
      <c r="B59" s="852">
        <f>Efetivo!E56</f>
        <v>0</v>
      </c>
      <c r="C59" s="1182">
        <f>Efetivo!B56</f>
        <v>0</v>
      </c>
      <c r="D59" s="1182"/>
      <c r="E59" s="1182"/>
      <c r="F59" s="851">
        <f>Efetivo!T56</f>
        <v>0</v>
      </c>
      <c r="G59" s="851">
        <f>Efetivo!AC56</f>
        <v>0</v>
      </c>
      <c r="H59" s="851">
        <f>Efetivo!AK56</f>
        <v>0</v>
      </c>
      <c r="I59" s="851">
        <f>SUM(Efetivo!AE56+Efetivo!AO56+Efetivo!AQ56+Efetivo!BL56)</f>
        <v>0</v>
      </c>
      <c r="J59" s="1187">
        <f>Efetivo!AW56+Efetivo!AY56</f>
        <v>0</v>
      </c>
      <c r="K59" s="1188"/>
      <c r="L59" s="851">
        <f t="shared" si="0"/>
        <v>0</v>
      </c>
      <c r="M59" s="341"/>
    </row>
    <row r="60" spans="1:13" ht="5.25" customHeight="1" thickBot="1">
      <c r="A60" s="153"/>
      <c r="B60" s="342"/>
      <c r="C60" s="343"/>
      <c r="D60" s="344"/>
      <c r="E60" s="344"/>
      <c r="F60" s="345"/>
      <c r="G60" s="345"/>
      <c r="H60" s="345"/>
      <c r="I60" s="345"/>
      <c r="J60" s="345"/>
      <c r="K60" s="345"/>
      <c r="L60" s="345"/>
      <c r="M60" s="346"/>
    </row>
    <row r="61" spans="1:13" ht="16.5" customHeight="1" thickBot="1">
      <c r="A61" s="153"/>
      <c r="B61" s="399">
        <f>SUM(B16:B59)</f>
        <v>20</v>
      </c>
      <c r="C61" s="911" t="str">
        <f>IF(B61=0,0,"Postos")</f>
        <v>Postos</v>
      </c>
      <c r="D61" s="400">
        <f>IF(Efetivo!BA59&gt;0,Efetivo!BA59,0)</f>
        <v>0</v>
      </c>
      <c r="E61" s="911">
        <f>IF(D61=0,0,"Folguistas")</f>
        <v>0</v>
      </c>
      <c r="F61" s="911"/>
      <c r="G61" s="911"/>
      <c r="H61" s="911" t="s">
        <v>604</v>
      </c>
      <c r="I61" s="941">
        <f>B61+D61</f>
        <v>20</v>
      </c>
      <c r="J61" s="1141" t="s">
        <v>188</v>
      </c>
      <c r="K61" s="1141"/>
      <c r="L61" s="461">
        <f>TRUNC((SUM(L16:L60)),2)</f>
        <v>0</v>
      </c>
      <c r="M61" s="346"/>
    </row>
    <row r="62" spans="1:13" ht="5.25" customHeight="1">
      <c r="A62" s="153"/>
      <c r="B62" s="349"/>
      <c r="C62" s="343"/>
      <c r="D62" s="344"/>
      <c r="E62" s="344"/>
      <c r="F62" s="345"/>
      <c r="G62" s="345"/>
      <c r="H62" s="345"/>
      <c r="I62" s="345"/>
      <c r="J62" s="345"/>
      <c r="K62" s="345"/>
      <c r="L62" s="345"/>
      <c r="M62" s="346"/>
    </row>
    <row r="63" spans="1:13" ht="11.25" customHeight="1">
      <c r="A63" s="153"/>
      <c r="B63" s="349"/>
      <c r="C63" s="1142">
        <f>IF(L63&lt;&gt;0,"Valor com incidência diferenciada de Encargos Sociais:",0)</f>
        <v>0</v>
      </c>
      <c r="D63" s="1143"/>
      <c r="E63" s="1143"/>
      <c r="F63" s="1143"/>
      <c r="G63" s="1143"/>
      <c r="H63" s="1143"/>
      <c r="I63" s="1143"/>
      <c r="J63" s="1143"/>
      <c r="K63" s="1143"/>
      <c r="L63" s="462">
        <f>TRUNC((-Efetivo!BC59),2)</f>
        <v>0</v>
      </c>
      <c r="M63" s="346"/>
    </row>
    <row r="64" spans="1:13" ht="5.25" customHeight="1">
      <c r="A64" s="153"/>
      <c r="B64" s="349"/>
      <c r="C64" s="343"/>
      <c r="D64" s="344"/>
      <c r="E64" s="344"/>
      <c r="F64" s="345"/>
      <c r="G64" s="345"/>
      <c r="H64" s="345"/>
      <c r="I64" s="345"/>
      <c r="J64" s="345"/>
      <c r="K64" s="345"/>
      <c r="L64" s="345"/>
      <c r="M64" s="346"/>
    </row>
    <row r="65" spans="1:16" ht="12" customHeight="1">
      <c r="A65" s="153"/>
      <c r="B65" s="349"/>
      <c r="C65" s="350"/>
      <c r="D65" s="351"/>
      <c r="E65" s="351"/>
      <c r="F65" s="352"/>
      <c r="G65" s="352"/>
      <c r="H65" s="352"/>
      <c r="I65" s="352"/>
      <c r="J65" s="1282" t="s">
        <v>232</v>
      </c>
      <c r="K65" s="1282"/>
      <c r="L65" s="881">
        <f>TRUNC(SUM(L61,L63),2)</f>
        <v>0</v>
      </c>
      <c r="M65" s="346"/>
      <c r="O65" s="1290"/>
      <c r="P65" s="1290"/>
    </row>
    <row r="66" spans="1:16" ht="3.75" customHeight="1" thickBot="1">
      <c r="A66" s="153"/>
      <c r="B66" s="353"/>
      <c r="C66" s="354"/>
      <c r="D66" s="153"/>
      <c r="E66" s="153"/>
      <c r="F66" s="153"/>
      <c r="G66" s="153"/>
      <c r="H66" s="153"/>
      <c r="I66" s="153"/>
      <c r="J66" s="153"/>
      <c r="K66" s="153"/>
      <c r="L66" s="199"/>
      <c r="M66" s="153"/>
    </row>
    <row r="67" spans="1:16" ht="12" customHeight="1" thickBot="1">
      <c r="A67" s="153"/>
      <c r="B67" s="1272" t="s">
        <v>137</v>
      </c>
      <c r="C67" s="1273"/>
      <c r="D67" s="1273"/>
      <c r="E67" s="1273"/>
      <c r="F67" s="1273"/>
      <c r="G67" s="1273"/>
      <c r="H67" s="1273"/>
      <c r="I67" s="1273"/>
      <c r="J67" s="1273"/>
      <c r="K67" s="1273"/>
      <c r="L67" s="1273"/>
      <c r="M67" s="1274"/>
      <c r="O67" s="355"/>
    </row>
    <row r="68" spans="1:16" ht="3.75" customHeight="1">
      <c r="A68" s="153"/>
      <c r="B68" s="338"/>
      <c r="C68" s="218"/>
      <c r="D68" s="178"/>
      <c r="E68" s="178"/>
      <c r="F68" s="178"/>
      <c r="G68" s="178"/>
      <c r="H68" s="356"/>
      <c r="I68" s="356"/>
      <c r="J68" s="356"/>
      <c r="K68" s="356"/>
      <c r="L68" s="357"/>
      <c r="M68" s="153"/>
    </row>
    <row r="69" spans="1:16" ht="18.75" customHeight="1">
      <c r="A69" s="153"/>
      <c r="B69" s="358"/>
      <c r="C69" s="1247" t="s">
        <v>138</v>
      </c>
      <c r="D69" s="1248"/>
      <c r="E69" s="1248"/>
      <c r="F69" s="1248"/>
      <c r="G69" s="403"/>
      <c r="H69" s="1291"/>
      <c r="I69" s="1291"/>
      <c r="J69" s="1291"/>
      <c r="K69" s="1291"/>
      <c r="L69" s="1292"/>
      <c r="M69" s="346"/>
      <c r="O69" s="1160"/>
      <c r="P69" s="1160"/>
    </row>
    <row r="70" spans="1:16" ht="10.5" customHeight="1">
      <c r="A70" s="153"/>
      <c r="B70" s="358"/>
      <c r="C70" s="1195" t="s">
        <v>139</v>
      </c>
      <c r="D70" s="1195"/>
      <c r="E70" s="1195"/>
      <c r="F70" s="1195"/>
      <c r="G70" s="825">
        <f>'E S'!F8</f>
        <v>0.2</v>
      </c>
      <c r="H70" s="1189"/>
      <c r="I70" s="1189"/>
      <c r="J70" s="1189"/>
      <c r="K70" s="1189"/>
      <c r="L70" s="831">
        <f>L65*G70</f>
        <v>0</v>
      </c>
      <c r="M70" s="341"/>
    </row>
    <row r="71" spans="1:16" ht="10.5" customHeight="1">
      <c r="A71" s="153"/>
      <c r="B71" s="358"/>
      <c r="C71" s="1196" t="s">
        <v>140</v>
      </c>
      <c r="D71" s="1196"/>
      <c r="E71" s="1196"/>
      <c r="F71" s="1196"/>
      <c r="G71" s="825">
        <f>IF($G$134&gt;0,0,'E S'!F9)</f>
        <v>1.4999999999999999E-2</v>
      </c>
      <c r="H71" s="1189"/>
      <c r="I71" s="1189"/>
      <c r="J71" s="1189"/>
      <c r="K71" s="1189"/>
      <c r="L71" s="832">
        <f>L65*G71</f>
        <v>0</v>
      </c>
      <c r="M71" s="341"/>
    </row>
    <row r="72" spans="1:16" ht="10.5" customHeight="1">
      <c r="A72" s="153"/>
      <c r="B72" s="358"/>
      <c r="C72" s="1196" t="s">
        <v>141</v>
      </c>
      <c r="D72" s="1196"/>
      <c r="E72" s="1196"/>
      <c r="F72" s="1196"/>
      <c r="G72" s="825">
        <f>IF($G$134&gt;0,0,'E S'!F10)</f>
        <v>0.01</v>
      </c>
      <c r="H72" s="1189"/>
      <c r="I72" s="1189"/>
      <c r="J72" s="1189"/>
      <c r="K72" s="1189"/>
      <c r="L72" s="832">
        <f>L65*G72</f>
        <v>0</v>
      </c>
      <c r="M72" s="341"/>
    </row>
    <row r="73" spans="1:16" ht="10.5" customHeight="1">
      <c r="A73" s="153"/>
      <c r="B73" s="358"/>
      <c r="C73" s="1196" t="s">
        <v>142</v>
      </c>
      <c r="D73" s="1196"/>
      <c r="E73" s="1196"/>
      <c r="F73" s="1196"/>
      <c r="G73" s="825">
        <f>IF($G$134&gt;0,0,'E S'!F11)</f>
        <v>2E-3</v>
      </c>
      <c r="H73" s="1189"/>
      <c r="I73" s="1189"/>
      <c r="J73" s="1189"/>
      <c r="K73" s="1189"/>
      <c r="L73" s="832">
        <f>L65*G73</f>
        <v>0</v>
      </c>
      <c r="M73" s="341"/>
    </row>
    <row r="74" spans="1:16" ht="10.5" customHeight="1">
      <c r="A74" s="153"/>
      <c r="B74" s="358"/>
      <c r="C74" s="1196" t="s">
        <v>143</v>
      </c>
      <c r="D74" s="1196"/>
      <c r="E74" s="1196"/>
      <c r="F74" s="1196"/>
      <c r="G74" s="825">
        <f>IF($G$134&gt;0,0,'E S'!F12)</f>
        <v>2.5000000000000001E-2</v>
      </c>
      <c r="H74" s="1189"/>
      <c r="I74" s="1189"/>
      <c r="J74" s="1189"/>
      <c r="K74" s="1189"/>
      <c r="L74" s="832">
        <f>L65*G74</f>
        <v>0</v>
      </c>
      <c r="M74" s="341"/>
    </row>
    <row r="75" spans="1:16" ht="10.5" customHeight="1">
      <c r="A75" s="153"/>
      <c r="B75" s="358"/>
      <c r="C75" s="1196" t="s">
        <v>144</v>
      </c>
      <c r="D75" s="1196"/>
      <c r="E75" s="1196"/>
      <c r="F75" s="1196"/>
      <c r="G75" s="825">
        <f>'E S'!F13</f>
        <v>0.08</v>
      </c>
      <c r="H75" s="1189"/>
      <c r="I75" s="1189"/>
      <c r="J75" s="1189"/>
      <c r="K75" s="1189"/>
      <c r="L75" s="832">
        <f>L65*G75</f>
        <v>0</v>
      </c>
      <c r="M75" s="341"/>
    </row>
    <row r="76" spans="1:16" ht="10.5" customHeight="1">
      <c r="A76" s="153"/>
      <c r="B76" s="358"/>
      <c r="C76" s="1196" t="s">
        <v>145</v>
      </c>
      <c r="D76" s="1196"/>
      <c r="E76" s="1196"/>
      <c r="F76" s="1196"/>
      <c r="G76" s="825">
        <f>IF('E S'!G14&gt;6%,0%,'E S'!G14)</f>
        <v>0.03</v>
      </c>
      <c r="H76" s="1189"/>
      <c r="I76" s="1189"/>
      <c r="J76" s="1189"/>
      <c r="K76" s="1189"/>
      <c r="L76" s="832">
        <f>L65*G76</f>
        <v>0</v>
      </c>
      <c r="M76" s="341"/>
    </row>
    <row r="77" spans="1:16" ht="10.5" customHeight="1">
      <c r="A77" s="153"/>
      <c r="B77" s="358"/>
      <c r="C77" s="1196" t="s">
        <v>146</v>
      </c>
      <c r="D77" s="1196"/>
      <c r="E77" s="1196"/>
      <c r="F77" s="1196"/>
      <c r="G77" s="825">
        <f>IF($G$134&gt;0,0,'E S'!F16)</f>
        <v>6.0000000000000001E-3</v>
      </c>
      <c r="H77" s="1189"/>
      <c r="I77" s="1189"/>
      <c r="J77" s="1189"/>
      <c r="K77" s="1189"/>
      <c r="L77" s="832">
        <f>L$65*G77</f>
        <v>0</v>
      </c>
      <c r="M77" s="341"/>
    </row>
    <row r="78" spans="1:16" ht="11.25" customHeight="1">
      <c r="A78" s="153"/>
      <c r="B78" s="358"/>
      <c r="C78" s="1246" t="s">
        <v>98</v>
      </c>
      <c r="D78" s="1246"/>
      <c r="E78" s="1246"/>
      <c r="F78" s="1246"/>
      <c r="G78" s="826">
        <f>SUM(G70:G77)</f>
        <v>0.3680000000000001</v>
      </c>
      <c r="H78" s="1189"/>
      <c r="I78" s="1189"/>
      <c r="J78" s="1189"/>
      <c r="K78" s="1189"/>
      <c r="L78" s="833">
        <f>TRUNC((SUM(L70:L77)),2)</f>
        <v>0</v>
      </c>
      <c r="M78" s="341"/>
    </row>
    <row r="79" spans="1:16" ht="18.75" customHeight="1">
      <c r="A79" s="153"/>
      <c r="B79" s="349"/>
      <c r="C79" s="1247" t="s">
        <v>147</v>
      </c>
      <c r="D79" s="1248"/>
      <c r="E79" s="1248"/>
      <c r="F79" s="1248"/>
      <c r="G79" s="827"/>
      <c r="H79" s="1235"/>
      <c r="I79" s="1235"/>
      <c r="J79" s="1235"/>
      <c r="K79" s="1235"/>
      <c r="L79" s="1236"/>
      <c r="M79" s="346"/>
    </row>
    <row r="80" spans="1:16" ht="10.5" customHeight="1">
      <c r="A80" s="153"/>
      <c r="B80" s="358"/>
      <c r="C80" s="1195" t="s">
        <v>567</v>
      </c>
      <c r="D80" s="1195"/>
      <c r="E80" s="1195"/>
      <c r="F80" s="1195"/>
      <c r="G80" s="825">
        <f>'E S'!F22</f>
        <v>8.3333333333333329E-2</v>
      </c>
      <c r="H80" s="1189"/>
      <c r="I80" s="1189"/>
      <c r="J80" s="1189"/>
      <c r="K80" s="1189"/>
      <c r="L80" s="831">
        <f>$L$65*G80</f>
        <v>0</v>
      </c>
      <c r="M80" s="341"/>
    </row>
    <row r="81" spans="1:13" ht="10.5" customHeight="1">
      <c r="A81" s="153"/>
      <c r="B81" s="358"/>
      <c r="C81" s="1195" t="s">
        <v>473</v>
      </c>
      <c r="D81" s="1195"/>
      <c r="E81" s="1195"/>
      <c r="F81" s="1195"/>
      <c r="G81" s="825">
        <f>'E S'!F23</f>
        <v>2.7777777777777776E-2</v>
      </c>
      <c r="H81" s="830"/>
      <c r="I81" s="830"/>
      <c r="J81" s="830"/>
      <c r="K81" s="830"/>
      <c r="L81" s="831">
        <f t="shared" ref="L81:L87" si="1">$L$65*G81</f>
        <v>0</v>
      </c>
      <c r="M81" s="341"/>
    </row>
    <row r="82" spans="1:13" ht="10.5" customHeight="1">
      <c r="A82" s="153"/>
      <c r="B82" s="358"/>
      <c r="C82" s="1196" t="s">
        <v>474</v>
      </c>
      <c r="D82" s="1196"/>
      <c r="E82" s="1196"/>
      <c r="F82" s="1196"/>
      <c r="G82" s="825">
        <f>'E S'!F24</f>
        <v>1.3899999999999999E-2</v>
      </c>
      <c r="H82" s="1189"/>
      <c r="I82" s="1189"/>
      <c r="J82" s="1189"/>
      <c r="K82" s="1189"/>
      <c r="L82" s="831">
        <f t="shared" si="1"/>
        <v>0</v>
      </c>
      <c r="M82" s="341"/>
    </row>
    <row r="83" spans="1:13" ht="10.5" customHeight="1">
      <c r="A83" s="153"/>
      <c r="B83" s="358"/>
      <c r="C83" s="1196" t="s">
        <v>475</v>
      </c>
      <c r="D83" s="1196"/>
      <c r="E83" s="1196"/>
      <c r="F83" s="1196"/>
      <c r="G83" s="825">
        <f>'E S'!F25</f>
        <v>2.0000000000000001E-4</v>
      </c>
      <c r="H83" s="1189"/>
      <c r="I83" s="1189"/>
      <c r="J83" s="1189"/>
      <c r="K83" s="1189"/>
      <c r="L83" s="831">
        <f t="shared" si="1"/>
        <v>0</v>
      </c>
      <c r="M83" s="341"/>
    </row>
    <row r="84" spans="1:13" ht="10.5" customHeight="1">
      <c r="A84" s="153"/>
      <c r="B84" s="358"/>
      <c r="C84" s="1157" t="s">
        <v>476</v>
      </c>
      <c r="D84" s="1158"/>
      <c r="E84" s="1158"/>
      <c r="F84" s="1159"/>
      <c r="G84" s="825">
        <f>'E S'!F26</f>
        <v>2.8E-3</v>
      </c>
      <c r="H84" s="1189"/>
      <c r="I84" s="1189"/>
      <c r="J84" s="1189"/>
      <c r="K84" s="1189"/>
      <c r="L84" s="831">
        <f t="shared" si="1"/>
        <v>0</v>
      </c>
      <c r="M84" s="341"/>
    </row>
    <row r="85" spans="1:13" ht="10.5" customHeight="1">
      <c r="A85" s="153"/>
      <c r="B85" s="358"/>
      <c r="C85" s="1157" t="s">
        <v>477</v>
      </c>
      <c r="D85" s="1158"/>
      <c r="E85" s="1158"/>
      <c r="F85" s="1159"/>
      <c r="G85" s="825">
        <f>'E S'!F27</f>
        <v>3.3E-3</v>
      </c>
      <c r="H85" s="1189"/>
      <c r="I85" s="1189"/>
      <c r="J85" s="1189"/>
      <c r="K85" s="1189"/>
      <c r="L85" s="831">
        <f t="shared" si="1"/>
        <v>0</v>
      </c>
      <c r="M85" s="341"/>
    </row>
    <row r="86" spans="1:13" ht="10.5" customHeight="1">
      <c r="A86" s="153"/>
      <c r="B86" s="358"/>
      <c r="C86" s="1157" t="s">
        <v>478</v>
      </c>
      <c r="D86" s="1158"/>
      <c r="E86" s="1158"/>
      <c r="F86" s="1159"/>
      <c r="G86" s="825">
        <f>'E S'!F28</f>
        <v>4.0000000000000002E-4</v>
      </c>
      <c r="H86" s="830"/>
      <c r="I86" s="830"/>
      <c r="J86" s="830"/>
      <c r="K86" s="830"/>
      <c r="L86" s="831">
        <f t="shared" si="1"/>
        <v>0</v>
      </c>
      <c r="M86" s="341"/>
    </row>
    <row r="87" spans="1:13" ht="10.5" customHeight="1">
      <c r="A87" s="153"/>
      <c r="B87" s="358"/>
      <c r="C87" s="1157" t="s">
        <v>514</v>
      </c>
      <c r="D87" s="1158"/>
      <c r="E87" s="1158"/>
      <c r="F87" s="1159"/>
      <c r="G87" s="825">
        <f>'E S'!F29</f>
        <v>8.3333333333333329E-2</v>
      </c>
      <c r="H87" s="1189"/>
      <c r="I87" s="1189"/>
      <c r="J87" s="1189"/>
      <c r="K87" s="1189"/>
      <c r="L87" s="831">
        <f t="shared" si="1"/>
        <v>0</v>
      </c>
      <c r="M87" s="341"/>
    </row>
    <row r="88" spans="1:13" ht="12.75" customHeight="1">
      <c r="A88" s="153"/>
      <c r="B88" s="358"/>
      <c r="C88" s="1237" t="s">
        <v>98</v>
      </c>
      <c r="D88" s="1238"/>
      <c r="E88" s="1238"/>
      <c r="F88" s="1239"/>
      <c r="G88" s="826">
        <f>SUM(G80:G87)</f>
        <v>0.21504444444444443</v>
      </c>
      <c r="H88" s="1189"/>
      <c r="I88" s="1189"/>
      <c r="J88" s="1189"/>
      <c r="K88" s="1189"/>
      <c r="L88" s="833">
        <f>TRUNC((SUM(L80:L87)),2)</f>
        <v>0</v>
      </c>
      <c r="M88" s="341"/>
    </row>
    <row r="89" spans="1:13" ht="18.75" customHeight="1">
      <c r="A89" s="153"/>
      <c r="B89" s="358"/>
      <c r="C89" s="1247" t="s">
        <v>148</v>
      </c>
      <c r="D89" s="1248"/>
      <c r="E89" s="1248"/>
      <c r="F89" s="1248"/>
      <c r="G89" s="827"/>
      <c r="H89" s="1235"/>
      <c r="I89" s="1235"/>
      <c r="J89" s="1235"/>
      <c r="K89" s="1235"/>
      <c r="L89" s="1236"/>
      <c r="M89" s="341"/>
    </row>
    <row r="90" spans="1:13" ht="10.5" customHeight="1">
      <c r="A90" s="153"/>
      <c r="B90" s="358"/>
      <c r="C90" s="1157" t="s">
        <v>513</v>
      </c>
      <c r="D90" s="1158"/>
      <c r="E90" s="1158"/>
      <c r="F90" s="1159"/>
      <c r="G90" s="825">
        <f>'E S'!F35</f>
        <v>4.5833333333333334E-3</v>
      </c>
      <c r="H90" s="830"/>
      <c r="I90" s="830"/>
      <c r="J90" s="830"/>
      <c r="K90" s="830"/>
      <c r="L90" s="831">
        <f>$L$65*G90</f>
        <v>0</v>
      </c>
      <c r="M90" s="341"/>
    </row>
    <row r="91" spans="1:13" ht="11.25" customHeight="1">
      <c r="A91" s="153"/>
      <c r="B91" s="358"/>
      <c r="C91" s="1157" t="s">
        <v>479</v>
      </c>
      <c r="D91" s="1158"/>
      <c r="E91" s="1158"/>
      <c r="F91" s="1159"/>
      <c r="G91" s="828">
        <f>'E S'!F36</f>
        <v>8.0000000000000004E-4</v>
      </c>
      <c r="H91" s="1189"/>
      <c r="I91" s="1189"/>
      <c r="J91" s="1189"/>
      <c r="K91" s="1189"/>
      <c r="L91" s="832">
        <f>L65*G91</f>
        <v>0</v>
      </c>
      <c r="M91" s="341"/>
    </row>
    <row r="92" spans="1:13">
      <c r="A92" s="153"/>
      <c r="B92" s="358"/>
      <c r="C92" s="1157" t="s">
        <v>480</v>
      </c>
      <c r="D92" s="1158"/>
      <c r="E92" s="1158"/>
      <c r="F92" s="1159"/>
      <c r="G92" s="828">
        <f>'E S'!F37</f>
        <v>3.6000000000000004E-2</v>
      </c>
      <c r="H92" s="1189"/>
      <c r="I92" s="1189"/>
      <c r="J92" s="1189"/>
      <c r="K92" s="1189"/>
      <c r="L92" s="832">
        <f>L65*G92</f>
        <v>0</v>
      </c>
      <c r="M92" s="341"/>
    </row>
    <row r="93" spans="1:13" ht="12.75" customHeight="1">
      <c r="A93" s="153"/>
      <c r="B93" s="358"/>
      <c r="C93" s="1237" t="s">
        <v>98</v>
      </c>
      <c r="D93" s="1238"/>
      <c r="E93" s="1238"/>
      <c r="F93" s="1239"/>
      <c r="G93" s="826">
        <f>SUM(G90:G92)</f>
        <v>4.1383333333333341E-2</v>
      </c>
      <c r="H93" s="1189"/>
      <c r="I93" s="1189"/>
      <c r="J93" s="1189"/>
      <c r="K93" s="1189"/>
      <c r="L93" s="833">
        <f>TRUNC((SUM(L90:L92)),2)</f>
        <v>0</v>
      </c>
      <c r="M93" s="341"/>
    </row>
    <row r="94" spans="1:13" ht="18.75" customHeight="1">
      <c r="A94" s="153"/>
      <c r="B94" s="358"/>
      <c r="C94" s="1247" t="s">
        <v>149</v>
      </c>
      <c r="D94" s="1248"/>
      <c r="E94" s="1248"/>
      <c r="F94" s="1248"/>
      <c r="G94" s="827"/>
      <c r="H94" s="1235"/>
      <c r="I94" s="1235"/>
      <c r="J94" s="1235"/>
      <c r="K94" s="1235"/>
      <c r="L94" s="1236"/>
      <c r="M94" s="341"/>
    </row>
    <row r="95" spans="1:13" ht="11.25" customHeight="1">
      <c r="A95" s="153"/>
      <c r="B95" s="358"/>
      <c r="C95" s="1249" t="s">
        <v>575</v>
      </c>
      <c r="D95" s="1250"/>
      <c r="E95" s="1250"/>
      <c r="F95" s="1251"/>
      <c r="G95" s="825">
        <f>IF(G134&gt;0,G78*(G88-G81+G90),'E S'!F43)</f>
        <v>7.0600800000000005E-2</v>
      </c>
      <c r="H95" s="1189"/>
      <c r="I95" s="1189"/>
      <c r="J95" s="1189"/>
      <c r="K95" s="1189"/>
      <c r="L95" s="831">
        <f>L65*G95</f>
        <v>0</v>
      </c>
      <c r="M95" s="341"/>
    </row>
    <row r="96" spans="1:13" ht="11.25" customHeight="1">
      <c r="A96" s="153"/>
      <c r="B96" s="358"/>
      <c r="C96" s="1237" t="s">
        <v>98</v>
      </c>
      <c r="D96" s="1238"/>
      <c r="E96" s="1238"/>
      <c r="F96" s="1239"/>
      <c r="G96" s="826">
        <f>SUM(G95:G95)</f>
        <v>7.0600800000000005E-2</v>
      </c>
      <c r="H96" s="1189"/>
      <c r="I96" s="1189"/>
      <c r="J96" s="1189"/>
      <c r="K96" s="1189"/>
      <c r="L96" s="834">
        <f>TRUNC((SUM(L95:L95)),2)</f>
        <v>0</v>
      </c>
      <c r="M96" s="341"/>
    </row>
    <row r="97" spans="1:15" ht="18.75" customHeight="1">
      <c r="A97" s="304"/>
      <c r="B97" s="358"/>
      <c r="C97" s="1169" t="s">
        <v>150</v>
      </c>
      <c r="D97" s="1170"/>
      <c r="E97" s="1170"/>
      <c r="F97" s="1240"/>
      <c r="G97" s="829">
        <f>(G78+G88+G93+G96)</f>
        <v>0.69502857777777782</v>
      </c>
      <c r="H97" s="1233"/>
      <c r="I97" s="1234"/>
      <c r="J97" s="1234"/>
      <c r="K97" s="1234"/>
      <c r="L97" s="835"/>
      <c r="M97" s="341"/>
      <c r="O97" s="382"/>
    </row>
    <row r="98" spans="1:15" ht="12" customHeight="1">
      <c r="A98" s="153"/>
      <c r="B98" s="358"/>
      <c r="C98" s="1193" t="s">
        <v>151</v>
      </c>
      <c r="D98" s="1194"/>
      <c r="E98" s="1194"/>
      <c r="F98" s="1194"/>
      <c r="G98" s="1194"/>
      <c r="H98" s="1194"/>
      <c r="I98" s="1194"/>
      <c r="J98" s="1194"/>
      <c r="K98" s="1194"/>
      <c r="L98" s="404">
        <f>TRUNC((G97*L65),2)</f>
        <v>0</v>
      </c>
      <c r="M98" s="341"/>
    </row>
    <row r="99" spans="1:15" ht="6.75" customHeight="1" thickBot="1">
      <c r="A99" s="153"/>
      <c r="B99" s="353"/>
      <c r="C99" s="354"/>
      <c r="D99" s="153"/>
      <c r="E99" s="153"/>
      <c r="F99" s="153"/>
      <c r="G99" s="153"/>
      <c r="H99" s="153"/>
      <c r="I99" s="153"/>
      <c r="J99" s="153"/>
      <c r="K99" s="153"/>
      <c r="L99" s="199"/>
      <c r="M99" s="148"/>
    </row>
    <row r="100" spans="1:15" ht="13.5" thickBot="1">
      <c r="A100" s="153"/>
      <c r="B100" s="1190" t="s">
        <v>152</v>
      </c>
      <c r="C100" s="1191"/>
      <c r="D100" s="1191"/>
      <c r="E100" s="1191"/>
      <c r="F100" s="1191"/>
      <c r="G100" s="1191"/>
      <c r="H100" s="1191"/>
      <c r="I100" s="1191"/>
      <c r="J100" s="1191"/>
      <c r="K100" s="1191"/>
      <c r="L100" s="1191"/>
      <c r="M100" s="1192"/>
    </row>
    <row r="101" spans="1:15" ht="3.75" customHeight="1">
      <c r="A101" s="153"/>
      <c r="B101" s="353"/>
      <c r="C101" s="354"/>
      <c r="D101" s="153"/>
      <c r="E101" s="153"/>
      <c r="F101" s="153"/>
      <c r="G101" s="153"/>
      <c r="H101" s="153"/>
      <c r="I101" s="153"/>
      <c r="J101" s="153"/>
      <c r="K101" s="153"/>
      <c r="L101" s="199"/>
      <c r="M101" s="148"/>
    </row>
    <row r="102" spans="1:15" ht="14.25" customHeight="1">
      <c r="A102" s="153"/>
      <c r="B102" s="353"/>
      <c r="C102" s="1212" t="s">
        <v>78</v>
      </c>
      <c r="D102" s="1213"/>
      <c r="E102" s="1213"/>
      <c r="F102" s="1213"/>
      <c r="G102" s="1186" t="s">
        <v>181</v>
      </c>
      <c r="H102" s="1186"/>
      <c r="I102" s="1186"/>
      <c r="J102" s="1186"/>
      <c r="K102" s="1186"/>
      <c r="L102" s="405" t="s">
        <v>174</v>
      </c>
      <c r="M102" s="148"/>
    </row>
    <row r="103" spans="1:15" ht="9.75" customHeight="1">
      <c r="A103" s="153"/>
      <c r="B103" s="361"/>
      <c r="C103" s="1204">
        <f>IF(L103=0,0,"Vale Refeição / Alimentação")</f>
        <v>0</v>
      </c>
      <c r="D103" s="1205"/>
      <c r="E103" s="1205"/>
      <c r="F103" s="1206"/>
      <c r="G103" s="1197" t="s">
        <v>394</v>
      </c>
      <c r="H103" s="1198"/>
      <c r="I103" s="1198"/>
      <c r="J103" s="1198"/>
      <c r="K103" s="1199"/>
      <c r="L103" s="846">
        <f>Benefícios!AA7</f>
        <v>0</v>
      </c>
      <c r="M103" s="362"/>
    </row>
    <row r="104" spans="1:15" ht="9.75" customHeight="1">
      <c r="A104" s="153"/>
      <c r="B104" s="361"/>
      <c r="C104" s="1204">
        <f>IF(L104=0,0,"Cesta Básica")</f>
        <v>0</v>
      </c>
      <c r="D104" s="1205"/>
      <c r="E104" s="1205"/>
      <c r="F104" s="1206"/>
      <c r="G104" s="1183"/>
      <c r="H104" s="1184"/>
      <c r="I104" s="1184"/>
      <c r="J104" s="1184"/>
      <c r="K104" s="1185"/>
      <c r="L104" s="846">
        <f>Benefícios!AI7</f>
        <v>0</v>
      </c>
      <c r="M104" s="362"/>
    </row>
    <row r="105" spans="1:15" ht="9.75" customHeight="1">
      <c r="A105" s="153"/>
      <c r="B105" s="361"/>
      <c r="C105" s="1204">
        <f>IF(L105=0,0,"Transporte")</f>
        <v>0</v>
      </c>
      <c r="D105" s="1205"/>
      <c r="E105" s="1205"/>
      <c r="F105" s="1206"/>
      <c r="G105" s="1183"/>
      <c r="H105" s="1184"/>
      <c r="I105" s="1184"/>
      <c r="J105" s="1184"/>
      <c r="K105" s="1185"/>
      <c r="L105" s="846">
        <f>Resumo!P33</f>
        <v>0</v>
      </c>
      <c r="M105" s="362"/>
    </row>
    <row r="106" spans="1:15" ht="9.75" customHeight="1">
      <c r="A106" s="153"/>
      <c r="B106" s="361"/>
      <c r="C106" s="1204">
        <f>IF(L106=0,0,"Uniforme / EPI e EPC")</f>
        <v>0</v>
      </c>
      <c r="D106" s="1205"/>
      <c r="E106" s="1205"/>
      <c r="F106" s="1206"/>
      <c r="G106" s="1183"/>
      <c r="H106" s="1184"/>
      <c r="I106" s="1184"/>
      <c r="J106" s="1184"/>
      <c r="K106" s="1185"/>
      <c r="L106" s="846">
        <f>Resumo!P35</f>
        <v>0</v>
      </c>
      <c r="M106" s="362"/>
    </row>
    <row r="107" spans="1:15" ht="9.75" customHeight="1">
      <c r="A107" s="153"/>
      <c r="B107" s="361"/>
      <c r="C107" s="1204">
        <f>IF(L107=0,0,"Seguro de Vida em Grupo")</f>
        <v>0</v>
      </c>
      <c r="D107" s="1205"/>
      <c r="E107" s="1205"/>
      <c r="F107" s="1206"/>
      <c r="G107" s="1183"/>
      <c r="H107" s="1184"/>
      <c r="I107" s="1184"/>
      <c r="J107" s="1184"/>
      <c r="K107" s="1185"/>
      <c r="L107" s="846">
        <f>Benefícios!BG7</f>
        <v>0</v>
      </c>
      <c r="M107" s="362"/>
    </row>
    <row r="108" spans="1:15" ht="9.75" hidden="1" customHeight="1">
      <c r="A108" s="153"/>
      <c r="B108" s="361"/>
      <c r="C108" s="1204">
        <f>IF(L108=0,0,"Assistência Médica")</f>
        <v>0</v>
      </c>
      <c r="D108" s="1205"/>
      <c r="E108" s="1205"/>
      <c r="F108" s="1206"/>
      <c r="G108" s="1183"/>
      <c r="H108" s="1184"/>
      <c r="I108" s="1184"/>
      <c r="J108" s="1184"/>
      <c r="K108" s="1185"/>
      <c r="L108" s="832">
        <f>Benefícios!AQ7</f>
        <v>0</v>
      </c>
      <c r="M108" s="362"/>
    </row>
    <row r="109" spans="1:15" ht="9.75" hidden="1" customHeight="1">
      <c r="A109" s="153"/>
      <c r="B109" s="361"/>
      <c r="C109" s="1204">
        <f>IF(L109=0,0,"Asistência Odontológica")</f>
        <v>0</v>
      </c>
      <c r="D109" s="1205"/>
      <c r="E109" s="1205"/>
      <c r="F109" s="1206"/>
      <c r="G109" s="1183"/>
      <c r="H109" s="1184"/>
      <c r="I109" s="1184"/>
      <c r="J109" s="1184"/>
      <c r="K109" s="1185"/>
      <c r="L109" s="832">
        <f>Benefícios!AY7</f>
        <v>0</v>
      </c>
      <c r="M109" s="362"/>
    </row>
    <row r="110" spans="1:15" ht="9.75" customHeight="1">
      <c r="A110" s="153"/>
      <c r="B110" s="361"/>
      <c r="C110" s="1204">
        <f>IF(L110=0,0,Benefícios!BI5)</f>
        <v>0</v>
      </c>
      <c r="D110" s="1205"/>
      <c r="E110" s="1205"/>
      <c r="F110" s="1206"/>
      <c r="G110" s="1183"/>
      <c r="H110" s="1184"/>
      <c r="I110" s="1184"/>
      <c r="J110" s="1184"/>
      <c r="K110" s="1185"/>
      <c r="L110" s="832">
        <f>Resumo!P43</f>
        <v>0</v>
      </c>
      <c r="M110" s="362"/>
    </row>
    <row r="111" spans="1:15" ht="9.75" customHeight="1">
      <c r="A111" s="153"/>
      <c r="B111" s="361"/>
      <c r="C111" s="1204">
        <f>IF(L111=0,0,"Material")</f>
        <v>0</v>
      </c>
      <c r="D111" s="1205"/>
      <c r="E111" s="1205"/>
      <c r="F111" s="1206"/>
      <c r="G111" s="1183"/>
      <c r="H111" s="1184"/>
      <c r="I111" s="1184"/>
      <c r="J111" s="1184"/>
      <c r="K111" s="1185"/>
      <c r="L111" s="832">
        <f>Resumo!P45</f>
        <v>0</v>
      </c>
      <c r="M111" s="362"/>
    </row>
    <row r="112" spans="1:15" ht="9.75" customHeight="1">
      <c r="A112" s="153"/>
      <c r="B112" s="361"/>
      <c r="C112" s="1204">
        <f>IF(L112=0,0,"Equipamentos e Utensílios - Depreciação")</f>
        <v>0</v>
      </c>
      <c r="D112" s="1205"/>
      <c r="E112" s="1205"/>
      <c r="F112" s="1206"/>
      <c r="G112" s="1183"/>
      <c r="H112" s="1184"/>
      <c r="I112" s="1184"/>
      <c r="J112" s="1184"/>
      <c r="K112" s="1185"/>
      <c r="L112" s="832">
        <f>DE!O8</f>
        <v>0</v>
      </c>
      <c r="M112" s="362"/>
    </row>
    <row r="113" spans="1:13" ht="9.75" customHeight="1">
      <c r="A113" s="153"/>
      <c r="B113" s="361"/>
      <c r="C113" s="1204">
        <f>IF(L113=0,0,"Manutenção e Peças - Equipamentos")</f>
        <v>0</v>
      </c>
      <c r="D113" s="1205"/>
      <c r="E113" s="1205"/>
      <c r="F113" s="1206"/>
      <c r="G113" s="847"/>
      <c r="H113" s="848"/>
      <c r="I113" s="848"/>
      <c r="J113" s="848"/>
      <c r="K113" s="849"/>
      <c r="L113" s="832">
        <f>DE!S8</f>
        <v>0</v>
      </c>
      <c r="M113" s="362"/>
    </row>
    <row r="114" spans="1:13" ht="9.75" customHeight="1">
      <c r="A114" s="153"/>
      <c r="B114" s="361"/>
      <c r="C114" s="1204">
        <f>IF(L114=0,0,"Veículos - Depreciação")</f>
        <v>0</v>
      </c>
      <c r="D114" s="1205"/>
      <c r="E114" s="1205"/>
      <c r="F114" s="1206"/>
      <c r="G114" s="1183"/>
      <c r="H114" s="1184"/>
      <c r="I114" s="1184"/>
      <c r="J114" s="1184"/>
      <c r="K114" s="1185"/>
      <c r="L114" s="832">
        <f>Resumo!P49</f>
        <v>0</v>
      </c>
      <c r="M114" s="362"/>
    </row>
    <row r="115" spans="1:13" ht="9.75" customHeight="1">
      <c r="A115" s="153"/>
      <c r="B115" s="361"/>
      <c r="C115" s="1204">
        <f>IF(L115=0,0,"Despesas Operacionais com Veículos")</f>
        <v>0</v>
      </c>
      <c r="D115" s="1205"/>
      <c r="E115" s="1205"/>
      <c r="F115" s="1206"/>
      <c r="G115" s="1183"/>
      <c r="H115" s="1184"/>
      <c r="I115" s="1184"/>
      <c r="J115" s="1184"/>
      <c r="K115" s="1185"/>
      <c r="L115" s="832">
        <f>DV!S8</f>
        <v>0</v>
      </c>
      <c r="M115" s="362"/>
    </row>
    <row r="116" spans="1:13" ht="9.75" customHeight="1">
      <c r="A116" s="153"/>
      <c r="B116" s="361"/>
      <c r="C116" s="1204">
        <f>IF(L116=0,0,"Despesas Gerais")</f>
        <v>0</v>
      </c>
      <c r="D116" s="1205"/>
      <c r="E116" s="1205"/>
      <c r="F116" s="1206"/>
      <c r="G116" s="1183"/>
      <c r="H116" s="1184"/>
      <c r="I116" s="1184"/>
      <c r="J116" s="1184"/>
      <c r="K116" s="1185"/>
      <c r="L116" s="832">
        <f>DG!K7</f>
        <v>0</v>
      </c>
      <c r="M116" s="362"/>
    </row>
    <row r="117" spans="1:13" ht="9.75" customHeight="1">
      <c r="A117" s="153"/>
      <c r="B117" s="361"/>
      <c r="C117" s="1204">
        <f>IF(L117=0,0,Benefícios!BQ5)</f>
        <v>0</v>
      </c>
      <c r="D117" s="1205"/>
      <c r="E117" s="1205"/>
      <c r="F117" s="1206"/>
      <c r="G117" s="1183"/>
      <c r="H117" s="1184"/>
      <c r="I117" s="1184"/>
      <c r="J117" s="1184"/>
      <c r="K117" s="1185"/>
      <c r="L117" s="832">
        <f>Benefícios!BW7</f>
        <v>0</v>
      </c>
      <c r="M117" s="362"/>
    </row>
    <row r="118" spans="1:13">
      <c r="A118" s="153"/>
      <c r="B118" s="361"/>
      <c r="C118" s="1193" t="s">
        <v>153</v>
      </c>
      <c r="D118" s="1194"/>
      <c r="E118" s="1194"/>
      <c r="F118" s="1194"/>
      <c r="G118" s="1170"/>
      <c r="H118" s="1170"/>
      <c r="I118" s="1170"/>
      <c r="J118" s="1170"/>
      <c r="K118" s="1170"/>
      <c r="L118" s="463">
        <f>TRUNC(SUM(L103:L117),2)</f>
        <v>0</v>
      </c>
      <c r="M118" s="362"/>
    </row>
    <row r="119" spans="1:13" ht="6.75" customHeight="1">
      <c r="A119" s="153"/>
      <c r="B119" s="361"/>
      <c r="C119" s="401"/>
      <c r="D119" s="402"/>
      <c r="E119" s="402"/>
      <c r="F119" s="402"/>
      <c r="G119" s="402"/>
      <c r="H119" s="402"/>
      <c r="I119" s="402"/>
      <c r="J119" s="402"/>
      <c r="K119" s="402"/>
      <c r="L119" s="407"/>
      <c r="M119" s="362"/>
    </row>
    <row r="120" spans="1:13">
      <c r="A120" s="153"/>
      <c r="B120" s="361"/>
      <c r="C120" s="1169" t="s">
        <v>466</v>
      </c>
      <c r="D120" s="1170"/>
      <c r="E120" s="1170"/>
      <c r="F120" s="1170"/>
      <c r="G120" s="1170"/>
      <c r="H120" s="1170"/>
      <c r="I120" s="1170"/>
      <c r="J120" s="1170"/>
      <c r="K120" s="1170"/>
      <c r="L120" s="463">
        <f>(L61+L98+L118)</f>
        <v>0</v>
      </c>
      <c r="M120" s="362"/>
    </row>
    <row r="121" spans="1:13" ht="6.75" customHeight="1" thickBot="1">
      <c r="A121" s="153"/>
      <c r="B121" s="353"/>
      <c r="C121" s="354"/>
      <c r="D121" s="363"/>
      <c r="E121" s="363"/>
      <c r="F121" s="363"/>
      <c r="G121" s="363"/>
      <c r="H121" s="363"/>
      <c r="I121" s="363"/>
      <c r="J121" s="363"/>
      <c r="K121" s="363"/>
      <c r="L121" s="364"/>
      <c r="M121" s="148"/>
    </row>
    <row r="122" spans="1:13" ht="13.5" thickBot="1">
      <c r="A122" s="153"/>
      <c r="B122" s="1190" t="s">
        <v>0</v>
      </c>
      <c r="C122" s="1191"/>
      <c r="D122" s="1191"/>
      <c r="E122" s="1191"/>
      <c r="F122" s="1191"/>
      <c r="G122" s="1191"/>
      <c r="H122" s="1191"/>
      <c r="I122" s="1191"/>
      <c r="J122" s="1191"/>
      <c r="K122" s="1191"/>
      <c r="L122" s="1191"/>
      <c r="M122" s="1192"/>
    </row>
    <row r="123" spans="1:13" ht="3.75" customHeight="1" thickBot="1">
      <c r="A123" s="1214"/>
      <c r="B123" s="1214"/>
      <c r="C123" s="1214"/>
      <c r="D123" s="1214"/>
      <c r="E123" s="1214"/>
      <c r="F123" s="1214"/>
      <c r="G123" s="1214"/>
      <c r="H123" s="1214"/>
      <c r="I123" s="1214"/>
      <c r="J123" s="1214"/>
      <c r="K123" s="1214"/>
      <c r="L123" s="1214"/>
      <c r="M123" s="1214"/>
    </row>
    <row r="124" spans="1:13" ht="13.5" thickBot="1">
      <c r="A124" s="153"/>
      <c r="B124" s="1190" t="s">
        <v>577</v>
      </c>
      <c r="C124" s="1191"/>
      <c r="D124" s="1191"/>
      <c r="E124" s="1191"/>
      <c r="F124" s="1191"/>
      <c r="G124" s="1191"/>
      <c r="H124" s="1191"/>
      <c r="I124" s="1191"/>
      <c r="J124" s="1191"/>
      <c r="K124" s="1191"/>
      <c r="L124" s="1191"/>
      <c r="M124" s="1192"/>
    </row>
    <row r="125" spans="1:13" ht="3.75" customHeight="1">
      <c r="A125" s="153"/>
      <c r="B125" s="153"/>
      <c r="C125" s="354"/>
      <c r="D125" s="153"/>
      <c r="E125" s="153"/>
      <c r="F125" s="153"/>
      <c r="G125" s="153"/>
      <c r="H125" s="153"/>
      <c r="I125" s="153"/>
      <c r="J125" s="153"/>
      <c r="K125" s="153"/>
      <c r="L125" s="199"/>
      <c r="M125" s="148"/>
    </row>
    <row r="126" spans="1:13">
      <c r="A126" s="153"/>
      <c r="B126" s="1257"/>
      <c r="C126" s="1146" t="s">
        <v>207</v>
      </c>
      <c r="D126" s="1147"/>
      <c r="E126" s="1147"/>
      <c r="F126" s="1148"/>
      <c r="G126" s="836">
        <f>MC!D6</f>
        <v>0.1462</v>
      </c>
      <c r="H126" s="1149"/>
      <c r="I126" s="1150"/>
      <c r="J126" s="1150"/>
      <c r="K126" s="1151"/>
      <c r="L126" s="843">
        <f>TRUNC(($L$120*G126),2)</f>
        <v>0</v>
      </c>
      <c r="M126" s="1244"/>
    </row>
    <row r="127" spans="1:13" ht="12.75" hidden="1" customHeight="1">
      <c r="A127" s="153"/>
      <c r="B127" s="1258"/>
      <c r="C127" s="1259" t="s">
        <v>98</v>
      </c>
      <c r="D127" s="1260"/>
      <c r="E127" s="1260"/>
      <c r="F127" s="1261"/>
      <c r="G127" s="368">
        <f>SUM(G126:G126)</f>
        <v>0.1462</v>
      </c>
      <c r="H127" s="1149"/>
      <c r="I127" s="1150"/>
      <c r="J127" s="1150"/>
      <c r="K127" s="1151"/>
      <c r="L127" s="369">
        <f>SUM(L126:L126)</f>
        <v>0</v>
      </c>
      <c r="M127" s="1245"/>
    </row>
    <row r="128" spans="1:13" ht="3.75" customHeight="1" thickBot="1">
      <c r="A128" s="153"/>
      <c r="B128" s="354"/>
      <c r="C128" s="371"/>
      <c r="D128" s="371"/>
      <c r="E128" s="371"/>
      <c r="F128" s="371"/>
      <c r="G128" s="372"/>
      <c r="H128" s="359"/>
      <c r="I128" s="359"/>
      <c r="J128" s="359"/>
      <c r="K128" s="359"/>
      <c r="L128" s="373"/>
      <c r="M128" s="354"/>
    </row>
    <row r="129" spans="1:15" ht="13.5" thickBot="1">
      <c r="A129" s="339"/>
      <c r="B129" s="1162" t="s">
        <v>163</v>
      </c>
      <c r="C129" s="1163"/>
      <c r="D129" s="1163"/>
      <c r="E129" s="1163"/>
      <c r="F129" s="1163"/>
      <c r="G129" s="1163"/>
      <c r="H129" s="1163"/>
      <c r="I129" s="1163"/>
      <c r="J129" s="1163"/>
      <c r="K129" s="1163"/>
      <c r="L129" s="1163"/>
      <c r="M129" s="1164"/>
      <c r="N129" s="304"/>
    </row>
    <row r="130" spans="1:15" ht="3.75" customHeight="1">
      <c r="A130" s="339"/>
      <c r="B130" s="282"/>
      <c r="C130" s="1228"/>
      <c r="D130" s="1228"/>
      <c r="E130" s="1228"/>
      <c r="F130" s="1228"/>
      <c r="G130" s="1228"/>
      <c r="H130" s="1229"/>
      <c r="I130" s="1229"/>
      <c r="J130" s="1229"/>
      <c r="K130" s="1229"/>
      <c r="L130" s="1228"/>
      <c r="M130" s="304"/>
    </row>
    <row r="131" spans="1:15" ht="12.75" customHeight="1">
      <c r="A131" s="153"/>
      <c r="B131" s="365"/>
      <c r="C131" s="790" t="str">
        <f>IF(G131=0,0,"01 - ISS")</f>
        <v>01 - ISS</v>
      </c>
      <c r="D131" s="841"/>
      <c r="E131" s="841"/>
      <c r="F131" s="842"/>
      <c r="G131" s="837">
        <f>IF($G$134&gt;0,0,MC!D11)</f>
        <v>0.05</v>
      </c>
      <c r="H131" s="1149"/>
      <c r="I131" s="1150"/>
      <c r="J131" s="1150"/>
      <c r="K131" s="1151"/>
      <c r="L131" s="839">
        <f>TRUNC(((L$120+L$127)/(1-G$135)*G131),2)</f>
        <v>0</v>
      </c>
      <c r="M131" s="1244"/>
    </row>
    <row r="132" spans="1:15" ht="12.75" customHeight="1">
      <c r="A132" s="153"/>
      <c r="B132" s="365"/>
      <c r="C132" s="790" t="str">
        <f>IF(G132=0,0,"02 - PIS")</f>
        <v>02 - PIS</v>
      </c>
      <c r="D132" s="841"/>
      <c r="E132" s="841"/>
      <c r="F132" s="842"/>
      <c r="G132" s="837">
        <f>IF($G$134&gt;0,0,O132)</f>
        <v>6.4999999999999997E-3</v>
      </c>
      <c r="H132" s="904"/>
      <c r="I132" s="902"/>
      <c r="J132" s="902"/>
      <c r="K132" s="903"/>
      <c r="L132" s="839">
        <f>TRUNC(((L$120+L$127)/(1-G$135)*G132),2)</f>
        <v>0</v>
      </c>
      <c r="M132" s="1245"/>
      <c r="O132" s="905">
        <f>IF(MC!D12&gt;0.65%,0,MC!D12)</f>
        <v>6.4999999999999997E-3</v>
      </c>
    </row>
    <row r="133" spans="1:15" ht="12.75" customHeight="1">
      <c r="A133" s="153"/>
      <c r="B133" s="365"/>
      <c r="C133" s="790" t="str">
        <f>IF(G133=0,0,"03 - COFINS")</f>
        <v>03 - COFINS</v>
      </c>
      <c r="D133" s="841"/>
      <c r="E133" s="841"/>
      <c r="F133" s="842"/>
      <c r="G133" s="837">
        <f>IF($G$134&gt;0,0,O133)</f>
        <v>0.03</v>
      </c>
      <c r="H133" s="904"/>
      <c r="I133" s="902"/>
      <c r="J133" s="902"/>
      <c r="K133" s="903"/>
      <c r="L133" s="839">
        <f>TRUNC(((L$120+L$127)/(1-G$135)*G133),2)</f>
        <v>0</v>
      </c>
      <c r="M133" s="1245"/>
      <c r="O133" s="905">
        <f>IF(MC!D13&gt;3%,0,MC!D13)</f>
        <v>0.03</v>
      </c>
    </row>
    <row r="134" spans="1:15" ht="12.75" customHeight="1">
      <c r="A134" s="153"/>
      <c r="B134" s="365"/>
      <c r="C134" s="790">
        <f>IF(G134=0,0,"04 - IMPOSTO SIMPLES ")</f>
        <v>0</v>
      </c>
      <c r="D134" s="791"/>
      <c r="E134" s="791"/>
      <c r="F134" s="792"/>
      <c r="G134" s="837">
        <f>IF(MC!D14&gt;0,MC!D14,0)</f>
        <v>0</v>
      </c>
      <c r="H134" s="366"/>
      <c r="I134" s="359"/>
      <c r="J134" s="359"/>
      <c r="K134" s="367"/>
      <c r="L134" s="839">
        <f>TRUNC(((L$120+L$127)/(1-G$135)*G134),2)</f>
        <v>0</v>
      </c>
      <c r="M134" s="370"/>
    </row>
    <row r="135" spans="1:15">
      <c r="A135" s="153"/>
      <c r="B135" s="365"/>
      <c r="C135" s="1152" t="s">
        <v>98</v>
      </c>
      <c r="D135" s="1153"/>
      <c r="E135" s="1153"/>
      <c r="F135" s="1154"/>
      <c r="G135" s="838">
        <f>SUM(G131:G134)</f>
        <v>8.6499999999999994E-2</v>
      </c>
      <c r="H135" s="366"/>
      <c r="I135" s="359"/>
      <c r="J135" s="359"/>
      <c r="K135" s="367"/>
      <c r="L135" s="840">
        <f>SUM(L131:L134)</f>
        <v>0</v>
      </c>
      <c r="M135" s="370"/>
    </row>
    <row r="136" spans="1:15" ht="7.5" customHeight="1">
      <c r="A136" s="153"/>
      <c r="B136" s="365"/>
      <c r="C136" s="375"/>
      <c r="D136" s="376"/>
      <c r="E136" s="376"/>
      <c r="F136" s="376"/>
      <c r="G136" s="377"/>
      <c r="H136" s="378"/>
      <c r="I136" s="378"/>
      <c r="J136" s="378"/>
      <c r="K136" s="378"/>
      <c r="L136" s="379"/>
      <c r="M136" s="370"/>
    </row>
    <row r="137" spans="1:15">
      <c r="A137" s="153"/>
      <c r="B137" s="365"/>
      <c r="E137" s="406"/>
      <c r="G137" s="374"/>
      <c r="H137" s="1165" t="s">
        <v>165</v>
      </c>
      <c r="I137" s="1165"/>
      <c r="J137" s="1165"/>
      <c r="K137" s="1165"/>
      <c r="L137" s="463">
        <f>SUM(L127,L135)</f>
        <v>0</v>
      </c>
      <c r="M137" s="362"/>
    </row>
    <row r="138" spans="1:15" ht="6.75" customHeight="1">
      <c r="A138" s="153"/>
      <c r="B138" s="365"/>
      <c r="C138" s="1144"/>
      <c r="D138" s="1145"/>
      <c r="E138" s="1145"/>
      <c r="F138" s="1145"/>
      <c r="G138" s="380"/>
      <c r="L138" s="381"/>
      <c r="M138" s="354"/>
    </row>
    <row r="139" spans="1:15" ht="11.25" customHeight="1">
      <c r="A139" s="153"/>
      <c r="B139" s="365"/>
      <c r="C139" s="1169" t="s">
        <v>465</v>
      </c>
      <c r="D139" s="1170"/>
      <c r="E139" s="1170"/>
      <c r="F139" s="1170"/>
      <c r="G139" s="1170"/>
      <c r="H139" s="1170"/>
      <c r="I139" s="1170"/>
      <c r="J139" s="1170"/>
      <c r="K139" s="1170"/>
      <c r="L139" s="407">
        <f>TRUNC((L120+L137),2)</f>
        <v>0</v>
      </c>
      <c r="M139" s="362"/>
      <c r="N139" s="382"/>
    </row>
    <row r="140" spans="1:15" ht="3.75" customHeight="1" thickBot="1">
      <c r="A140" s="153"/>
      <c r="C140" s="196"/>
      <c r="D140" s="148"/>
      <c r="E140" s="148"/>
      <c r="F140" s="148"/>
      <c r="G140" s="148"/>
      <c r="H140" s="148"/>
      <c r="I140" s="148"/>
      <c r="J140" s="148"/>
      <c r="K140" s="148"/>
      <c r="L140" s="199"/>
      <c r="M140" s="148"/>
    </row>
    <row r="141" spans="1:15" ht="13.5" customHeight="1" thickBot="1">
      <c r="A141" s="383"/>
      <c r="B141" s="1162" t="s">
        <v>210</v>
      </c>
      <c r="C141" s="1163"/>
      <c r="D141" s="1163"/>
      <c r="E141" s="1163"/>
      <c r="F141" s="1163"/>
      <c r="G141" s="1163"/>
      <c r="H141" s="1163"/>
      <c r="I141" s="1163"/>
      <c r="J141" s="1163"/>
      <c r="K141" s="1163"/>
      <c r="L141" s="1163"/>
      <c r="M141" s="1164"/>
    </row>
    <row r="142" spans="1:15" ht="4.5" customHeight="1">
      <c r="A142" s="383"/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</row>
    <row r="143" spans="1:15" ht="2.25" hidden="1" customHeight="1">
      <c r="A143" s="153"/>
      <c r="B143" s="338"/>
      <c r="C143" s="218"/>
      <c r="D143" s="178"/>
      <c r="E143" s="178"/>
      <c r="F143" s="178"/>
      <c r="G143" s="178"/>
      <c r="H143" s="178"/>
      <c r="I143" s="385">
        <f>ROUND(H145*I145,2)</f>
        <v>0</v>
      </c>
      <c r="J143" s="178"/>
      <c r="K143" s="178"/>
      <c r="L143" s="199"/>
      <c r="M143" s="148"/>
    </row>
    <row r="144" spans="1:15" ht="20.25" customHeight="1">
      <c r="A144" s="153"/>
      <c r="B144" s="358"/>
      <c r="C144" s="1155" t="s">
        <v>156</v>
      </c>
      <c r="D144" s="1211"/>
      <c r="E144" s="1156"/>
      <c r="F144" s="410" t="s">
        <v>211</v>
      </c>
      <c r="G144" s="409" t="s">
        <v>212</v>
      </c>
      <c r="H144" s="410" t="s">
        <v>213</v>
      </c>
      <c r="I144" s="408" t="s">
        <v>214</v>
      </c>
      <c r="J144" s="1155" t="s">
        <v>172</v>
      </c>
      <c r="K144" s="1156"/>
      <c r="L144" s="410" t="s">
        <v>178</v>
      </c>
      <c r="M144" s="340"/>
      <c r="N144" s="340"/>
      <c r="O144" s="346"/>
    </row>
    <row r="145" spans="1:16" ht="14.25" customHeight="1">
      <c r="A145" s="153"/>
      <c r="B145" s="358"/>
      <c r="C145" s="1230" t="s">
        <v>215</v>
      </c>
      <c r="D145" s="1231"/>
      <c r="E145" s="1232"/>
      <c r="F145" s="823">
        <f>L61</f>
        <v>0</v>
      </c>
      <c r="G145" s="828">
        <v>0.23330000000000001</v>
      </c>
      <c r="H145" s="844">
        <f>IF(F145&lt;=L61,ROUND((F145*G145),2),0)</f>
        <v>0</v>
      </c>
      <c r="I145" s="828">
        <f>G126</f>
        <v>0.1462</v>
      </c>
      <c r="J145" s="1167">
        <f>G135</f>
        <v>8.6499999999999994E-2</v>
      </c>
      <c r="K145" s="1168"/>
      <c r="L145" s="845">
        <f>TRUNC((((H145+I143)/(1-J145)*J145)+H145+I143),2)</f>
        <v>0</v>
      </c>
      <c r="M145" s="341"/>
    </row>
    <row r="146" spans="1:16" ht="12" customHeight="1">
      <c r="A146" s="153"/>
      <c r="B146" s="386"/>
      <c r="C146" s="1169" t="s">
        <v>30</v>
      </c>
      <c r="D146" s="1170"/>
      <c r="E146" s="1170"/>
      <c r="F146" s="1170"/>
      <c r="G146" s="1170"/>
      <c r="H146" s="1170"/>
      <c r="I146" s="1170"/>
      <c r="J146" s="1170"/>
      <c r="K146" s="1170"/>
      <c r="L146" s="411">
        <f>L145</f>
        <v>0</v>
      </c>
      <c r="M146" s="354"/>
    </row>
    <row r="147" spans="1:16" ht="3.75" customHeight="1" thickBot="1">
      <c r="A147" s="153"/>
      <c r="C147" s="196"/>
      <c r="D147" s="148"/>
      <c r="E147" s="148"/>
      <c r="F147" s="148"/>
      <c r="G147" s="148"/>
      <c r="H147" s="148"/>
      <c r="I147" s="148"/>
      <c r="J147" s="148"/>
      <c r="K147" s="148"/>
      <c r="L147" s="199"/>
      <c r="M147" s="148"/>
    </row>
    <row r="148" spans="1:16" ht="13.5" customHeight="1" thickBot="1">
      <c r="A148" s="153"/>
      <c r="B148" s="1190" t="s">
        <v>216</v>
      </c>
      <c r="C148" s="1191"/>
      <c r="D148" s="1191"/>
      <c r="E148" s="1191"/>
      <c r="F148" s="1191"/>
      <c r="G148" s="1191"/>
      <c r="H148" s="1191"/>
      <c r="I148" s="1191"/>
      <c r="J148" s="1191"/>
      <c r="K148" s="1191"/>
      <c r="L148" s="1191"/>
      <c r="M148" s="1192"/>
    </row>
    <row r="149" spans="1:16" ht="3.75" customHeight="1">
      <c r="A149" s="153"/>
      <c r="C149" s="196"/>
      <c r="D149" s="148"/>
      <c r="E149" s="148"/>
      <c r="F149" s="148"/>
      <c r="G149" s="148"/>
      <c r="H149" s="148"/>
      <c r="I149" s="148"/>
      <c r="J149" s="148"/>
      <c r="K149" s="148"/>
      <c r="L149" s="199"/>
      <c r="M149" s="148"/>
    </row>
    <row r="150" spans="1:16" ht="13.5" customHeight="1">
      <c r="A150" s="153"/>
      <c r="B150" s="358"/>
      <c r="C150" s="1173" t="s">
        <v>668</v>
      </c>
      <c r="D150" s="1174"/>
      <c r="E150" s="1174"/>
      <c r="F150" s="1174"/>
      <c r="G150" s="1174"/>
      <c r="H150" s="1174"/>
      <c r="I150" s="1174"/>
      <c r="J150" s="1174"/>
      <c r="K150" s="1174"/>
      <c r="L150" s="1175"/>
      <c r="M150" s="341"/>
    </row>
    <row r="151" spans="1:16" ht="13.5" customHeight="1">
      <c r="A151" s="153"/>
      <c r="B151" s="358"/>
      <c r="C151" s="1176"/>
      <c r="D151" s="1177"/>
      <c r="E151" s="1177"/>
      <c r="F151" s="1177"/>
      <c r="G151" s="1177"/>
      <c r="H151" s="1177"/>
      <c r="I151" s="1177"/>
      <c r="J151" s="1177"/>
      <c r="K151" s="1177"/>
      <c r="L151" s="1178"/>
      <c r="M151" s="341"/>
    </row>
    <row r="152" spans="1:16" ht="13.5" customHeight="1">
      <c r="A152" s="153"/>
      <c r="B152" s="358"/>
      <c r="C152" s="1176"/>
      <c r="D152" s="1177"/>
      <c r="E152" s="1177"/>
      <c r="F152" s="1177"/>
      <c r="G152" s="1177"/>
      <c r="H152" s="1177"/>
      <c r="I152" s="1177"/>
      <c r="J152" s="1177"/>
      <c r="K152" s="1177"/>
      <c r="L152" s="1178"/>
      <c r="M152" s="341"/>
    </row>
    <row r="153" spans="1:16" ht="8.25" customHeight="1">
      <c r="A153" s="153"/>
      <c r="B153" s="358"/>
      <c r="C153" s="1176"/>
      <c r="D153" s="1177"/>
      <c r="E153" s="1177"/>
      <c r="F153" s="1177"/>
      <c r="G153" s="1177"/>
      <c r="H153" s="1177"/>
      <c r="I153" s="1177"/>
      <c r="J153" s="1177"/>
      <c r="K153" s="1177"/>
      <c r="L153" s="1178"/>
      <c r="M153" s="341"/>
    </row>
    <row r="154" spans="1:16" ht="9" customHeight="1">
      <c r="A154" s="153"/>
      <c r="B154" s="358"/>
      <c r="C154" s="1179"/>
      <c r="D154" s="1180"/>
      <c r="E154" s="1180"/>
      <c r="F154" s="1180"/>
      <c r="G154" s="1180"/>
      <c r="H154" s="1180"/>
      <c r="I154" s="1180"/>
      <c r="J154" s="1180"/>
      <c r="K154" s="1180"/>
      <c r="L154" s="1181"/>
      <c r="M154" s="341"/>
    </row>
    <row r="155" spans="1:16" ht="9.75" customHeight="1">
      <c r="A155" s="153"/>
      <c r="B155" s="358"/>
      <c r="C155" s="1241" t="s">
        <v>154</v>
      </c>
      <c r="D155" s="1242"/>
      <c r="E155" s="1242"/>
      <c r="F155" s="1242"/>
      <c r="G155" s="1242"/>
      <c r="H155" s="1242"/>
      <c r="I155" s="1242"/>
      <c r="J155" s="1242"/>
      <c r="K155" s="1242"/>
      <c r="L155" s="1243"/>
      <c r="M155" s="346"/>
    </row>
    <row r="156" spans="1:16" ht="4.5" customHeight="1">
      <c r="A156" s="153"/>
      <c r="B156" s="358"/>
      <c r="C156" s="1209"/>
      <c r="D156" s="1210"/>
      <c r="E156" s="1210"/>
      <c r="F156" s="1210"/>
      <c r="G156" s="1210"/>
      <c r="H156" s="1210"/>
      <c r="I156" s="1210"/>
      <c r="J156" s="1210"/>
      <c r="K156" s="1210"/>
      <c r="L156" s="387"/>
      <c r="M156" s="341"/>
    </row>
    <row r="157" spans="1:16" ht="15" customHeight="1">
      <c r="A157" s="153"/>
      <c r="B157" s="349"/>
      <c r="C157" s="360"/>
      <c r="D157" s="352"/>
      <c r="E157" s="352"/>
      <c r="F157" s="352"/>
      <c r="G157" s="352"/>
      <c r="H157" s="352"/>
      <c r="I157" s="388"/>
      <c r="J157" s="388"/>
      <c r="K157" s="412" t="s">
        <v>6</v>
      </c>
      <c r="L157" s="413">
        <f>ADII!J8/0.9135</f>
        <v>0</v>
      </c>
      <c r="M157" s="346"/>
    </row>
    <row r="158" spans="1:16" ht="3.75" customHeight="1" thickBot="1">
      <c r="A158" s="153"/>
      <c r="C158" s="196"/>
      <c r="D158" s="148"/>
      <c r="E158" s="148"/>
      <c r="F158" s="148"/>
      <c r="G158" s="148"/>
      <c r="H158" s="148"/>
      <c r="I158" s="148"/>
      <c r="J158" s="148"/>
      <c r="K158" s="148"/>
      <c r="L158" s="199"/>
      <c r="M158" s="148"/>
    </row>
    <row r="159" spans="1:16" ht="18.75" customHeight="1" thickBot="1">
      <c r="A159" s="383"/>
      <c r="B159" s="1171" t="s">
        <v>22</v>
      </c>
      <c r="C159" s="1172"/>
      <c r="D159" s="1172"/>
      <c r="E159" s="1172"/>
      <c r="F159" s="414">
        <f>Dados!C18</f>
        <v>12</v>
      </c>
      <c r="G159" s="414" t="s">
        <v>164</v>
      </c>
      <c r="H159" s="1166" t="s">
        <v>242</v>
      </c>
      <c r="I159" s="1166"/>
      <c r="J159" s="1166"/>
      <c r="K159" s="1207">
        <f>(L139*F159)+(L145+L157)</f>
        <v>0</v>
      </c>
      <c r="L159" s="1207"/>
      <c r="M159" s="1208"/>
      <c r="O159" s="1160"/>
      <c r="P159" s="1160"/>
    </row>
    <row r="160" spans="1:16" ht="3.75" customHeight="1" thickBot="1">
      <c r="A160" s="153"/>
      <c r="C160" s="196"/>
      <c r="D160" s="148"/>
      <c r="E160" s="148"/>
      <c r="F160" s="148"/>
      <c r="G160" s="148"/>
      <c r="H160" s="148"/>
      <c r="I160" s="148"/>
      <c r="J160" s="148"/>
      <c r="K160" s="148"/>
      <c r="L160" s="199"/>
      <c r="M160" s="148"/>
    </row>
    <row r="161" spans="1:16" ht="13.5" customHeight="1" thickBot="1">
      <c r="A161" s="383"/>
      <c r="B161" s="1262" t="s">
        <v>155</v>
      </c>
      <c r="C161" s="1263"/>
      <c r="D161" s="1263"/>
      <c r="E161" s="1263"/>
      <c r="F161" s="1263"/>
      <c r="G161" s="1263"/>
      <c r="H161" s="1263"/>
      <c r="I161" s="1263"/>
      <c r="J161" s="1263"/>
      <c r="K161" s="1263"/>
      <c r="L161" s="1263"/>
      <c r="M161" s="1264"/>
      <c r="O161" s="1161"/>
      <c r="P161" s="1161"/>
    </row>
    <row r="162" spans="1:16" ht="3.75" customHeight="1">
      <c r="A162" s="153"/>
      <c r="B162" s="338"/>
      <c r="C162" s="218"/>
      <c r="D162" s="178"/>
      <c r="E162" s="178"/>
      <c r="F162" s="178"/>
      <c r="G162" s="178"/>
      <c r="H162" s="178"/>
      <c r="I162" s="178"/>
      <c r="J162" s="178"/>
      <c r="K162" s="178"/>
      <c r="L162" s="199"/>
      <c r="M162" s="148"/>
    </row>
    <row r="163" spans="1:16">
      <c r="A163" s="153"/>
      <c r="B163" s="358"/>
      <c r="C163" s="410" t="s">
        <v>136</v>
      </c>
      <c r="D163" s="1155" t="s">
        <v>156</v>
      </c>
      <c r="E163" s="1156"/>
      <c r="F163" s="1155" t="s">
        <v>157</v>
      </c>
      <c r="G163" s="1211"/>
      <c r="H163" s="1211"/>
      <c r="I163" s="1211"/>
      <c r="J163" s="1211"/>
      <c r="K163" s="1211"/>
      <c r="L163" s="1156"/>
      <c r="M163" s="341"/>
      <c r="O163" s="1139"/>
      <c r="P163" s="1140"/>
    </row>
    <row r="164" spans="1:16" ht="22.5" customHeight="1">
      <c r="A164" s="153"/>
      <c r="B164" s="358"/>
      <c r="C164" s="857">
        <f>IF(D61&gt;0,D61,0)</f>
        <v>0</v>
      </c>
      <c r="D164" s="1283">
        <f>IF(C164=0,0,"Folguistas")</f>
        <v>0</v>
      </c>
      <c r="E164" s="1286"/>
      <c r="F164" s="1283">
        <f>IF(C164=0,0,"O Campo Adicionais está contemplando a cobertura de folgas  para os empregados que laboram em regime de escala de revezamento.")</f>
        <v>0</v>
      </c>
      <c r="G164" s="1284"/>
      <c r="H164" s="1284"/>
      <c r="I164" s="1284"/>
      <c r="J164" s="1284"/>
      <c r="K164" s="1284"/>
      <c r="L164" s="1285"/>
      <c r="M164" s="341"/>
      <c r="O164" s="389"/>
    </row>
    <row r="165" spans="1:16" ht="21.75" customHeight="1">
      <c r="A165" s="153"/>
      <c r="B165" s="358"/>
      <c r="C165" s="858"/>
      <c r="D165" s="1252"/>
      <c r="E165" s="1253"/>
      <c r="F165" s="1252"/>
      <c r="G165" s="1254"/>
      <c r="H165" s="1254"/>
      <c r="I165" s="1254"/>
      <c r="J165" s="1254"/>
      <c r="K165" s="1254"/>
      <c r="L165" s="1255"/>
      <c r="M165" s="341"/>
    </row>
    <row r="166" spans="1:16" ht="21.75" customHeight="1">
      <c r="A166" s="153"/>
      <c r="B166" s="358"/>
      <c r="C166" s="858"/>
      <c r="D166" s="1252"/>
      <c r="E166" s="1253"/>
      <c r="F166" s="1252"/>
      <c r="G166" s="1254"/>
      <c r="H166" s="1254"/>
      <c r="I166" s="1254"/>
      <c r="J166" s="1254"/>
      <c r="K166" s="1254"/>
      <c r="L166" s="1255"/>
      <c r="M166" s="341"/>
    </row>
    <row r="167" spans="1:16" ht="26.25" hidden="1" customHeight="1">
      <c r="A167" s="153"/>
      <c r="B167" s="358"/>
      <c r="C167" s="858"/>
      <c r="D167" s="1252"/>
      <c r="E167" s="1253"/>
      <c r="F167" s="1252"/>
      <c r="G167" s="1254"/>
      <c r="H167" s="1254"/>
      <c r="I167" s="1254"/>
      <c r="J167" s="1254"/>
      <c r="K167" s="1254"/>
      <c r="L167" s="1255"/>
      <c r="M167" s="341"/>
    </row>
    <row r="168" spans="1:16" ht="20.25" hidden="1" customHeight="1">
      <c r="A168" s="153"/>
      <c r="B168" s="358"/>
      <c r="C168" s="858"/>
      <c r="D168" s="1252"/>
      <c r="E168" s="1253"/>
      <c r="F168" s="1252"/>
      <c r="G168" s="1254"/>
      <c r="H168" s="1254"/>
      <c r="I168" s="1254"/>
      <c r="J168" s="1254"/>
      <c r="K168" s="1254"/>
      <c r="L168" s="1255"/>
      <c r="M168" s="341"/>
    </row>
    <row r="169" spans="1:16" ht="20.25" hidden="1" customHeight="1">
      <c r="A169" s="153"/>
      <c r="B169" s="358"/>
      <c r="C169" s="858"/>
      <c r="D169" s="1252"/>
      <c r="E169" s="1253"/>
      <c r="F169" s="1252"/>
      <c r="G169" s="1254"/>
      <c r="H169" s="1254"/>
      <c r="I169" s="1254"/>
      <c r="J169" s="1254"/>
      <c r="K169" s="1254"/>
      <c r="L169" s="1255"/>
      <c r="M169" s="341"/>
      <c r="O169" s="390"/>
    </row>
    <row r="170" spans="1:16" ht="20.25" hidden="1" customHeight="1">
      <c r="A170" s="153"/>
      <c r="B170" s="358"/>
      <c r="C170" s="858"/>
      <c r="D170" s="1252"/>
      <c r="E170" s="1253"/>
      <c r="F170" s="1252"/>
      <c r="G170" s="1254"/>
      <c r="H170" s="1254"/>
      <c r="I170" s="1254"/>
      <c r="J170" s="1254"/>
      <c r="K170" s="1254"/>
      <c r="L170" s="1255"/>
      <c r="M170" s="341"/>
    </row>
    <row r="171" spans="1:16" hidden="1">
      <c r="A171" s="153"/>
      <c r="B171" s="358"/>
      <c r="C171" s="859"/>
      <c r="D171" s="1252"/>
      <c r="E171" s="1253"/>
      <c r="F171" s="1252"/>
      <c r="G171" s="1256"/>
      <c r="H171" s="1256"/>
      <c r="I171" s="1256"/>
      <c r="J171" s="1256"/>
      <c r="K171" s="1256"/>
      <c r="L171" s="1253"/>
      <c r="M171" s="341"/>
    </row>
    <row r="172" spans="1:16" s="304" customFormat="1" ht="3.75" customHeight="1">
      <c r="A172" s="153"/>
      <c r="B172" s="353"/>
      <c r="C172" s="354"/>
      <c r="D172" s="153"/>
      <c r="E172" s="153"/>
      <c r="F172" s="153"/>
      <c r="G172" s="153"/>
      <c r="H172" s="153"/>
      <c r="I172" s="153"/>
      <c r="J172" s="153"/>
      <c r="K172" s="153"/>
      <c r="L172" s="328"/>
      <c r="M172" s="153"/>
    </row>
    <row r="173" spans="1:16" ht="3.75" customHeight="1" thickBot="1">
      <c r="A173" s="153"/>
      <c r="B173" s="1215"/>
      <c r="C173" s="1215"/>
      <c r="D173" s="1215"/>
      <c r="E173" s="1215"/>
      <c r="F173" s="1215"/>
      <c r="G173" s="1215"/>
      <c r="H173" s="1215"/>
      <c r="I173" s="1215"/>
      <c r="J173" s="1215"/>
      <c r="K173" s="1215"/>
      <c r="L173" s="1215"/>
      <c r="M173" s="391"/>
    </row>
    <row r="174" spans="1:16" ht="12" customHeight="1" thickBot="1">
      <c r="A174" s="153"/>
      <c r="B174" s="1287" t="s">
        <v>158</v>
      </c>
      <c r="C174" s="1288"/>
      <c r="D174" s="1288"/>
      <c r="E174" s="1288"/>
      <c r="F174" s="1288"/>
      <c r="G174" s="1288"/>
      <c r="H174" s="1288"/>
      <c r="I174" s="1288"/>
      <c r="J174" s="1288"/>
      <c r="K174" s="1288"/>
      <c r="L174" s="1288"/>
      <c r="M174" s="1289"/>
    </row>
    <row r="175" spans="1:16" ht="3.75" customHeight="1" thickBot="1">
      <c r="A175" s="153"/>
      <c r="B175" s="1203"/>
      <c r="C175" s="1203"/>
      <c r="D175" s="1203"/>
      <c r="E175" s="1203"/>
      <c r="F175" s="1203"/>
      <c r="G175" s="1203"/>
      <c r="H175" s="1203"/>
      <c r="I175" s="1203"/>
      <c r="J175" s="1203"/>
      <c r="K175" s="1203"/>
      <c r="L175" s="1203"/>
      <c r="M175" s="391"/>
    </row>
    <row r="176" spans="1:16" ht="55.5" customHeight="1">
      <c r="A176" s="153"/>
      <c r="B176" s="1220" t="s">
        <v>470</v>
      </c>
      <c r="C176" s="1221"/>
      <c r="D176" s="1221"/>
      <c r="E176" s="1221"/>
      <c r="F176" s="1221"/>
      <c r="G176" s="1221"/>
      <c r="H176" s="1221"/>
      <c r="I176" s="1221"/>
      <c r="J176" s="1221"/>
      <c r="K176" s="1221"/>
      <c r="L176" s="1221"/>
      <c r="M176" s="1222"/>
    </row>
    <row r="177" spans="1:13" ht="12" customHeight="1">
      <c r="A177" s="153"/>
      <c r="B177" s="1200" t="s">
        <v>467</v>
      </c>
      <c r="C177" s="1201"/>
      <c r="D177" s="1201"/>
      <c r="E177" s="1201"/>
      <c r="F177" s="1201"/>
      <c r="G177" s="1201"/>
      <c r="H177" s="1201"/>
      <c r="I177" s="1201"/>
      <c r="J177" s="1201"/>
      <c r="K177" s="1201"/>
      <c r="L177" s="1201"/>
      <c r="M177" s="418"/>
    </row>
    <row r="178" spans="1:13" ht="9.75" customHeight="1">
      <c r="A178" s="153"/>
      <c r="B178" s="1200" t="s">
        <v>468</v>
      </c>
      <c r="C178" s="1201"/>
      <c r="D178" s="1201"/>
      <c r="E178" s="1201"/>
      <c r="F178" s="1201"/>
      <c r="G178" s="1201"/>
      <c r="H178" s="1201"/>
      <c r="I178" s="1201"/>
      <c r="J178" s="1201"/>
      <c r="K178" s="1201"/>
      <c r="L178" s="1201"/>
      <c r="M178" s="418"/>
    </row>
    <row r="179" spans="1:13" ht="12" customHeight="1">
      <c r="A179" s="153"/>
      <c r="B179" s="1200" t="s">
        <v>183</v>
      </c>
      <c r="C179" s="1201"/>
      <c r="D179" s="1201"/>
      <c r="E179" s="1201"/>
      <c r="F179" s="1201"/>
      <c r="G179" s="1201"/>
      <c r="H179" s="1201"/>
      <c r="I179" s="1201"/>
      <c r="J179" s="1201"/>
      <c r="K179" s="1201"/>
      <c r="L179" s="1201"/>
      <c r="M179" s="418"/>
    </row>
    <row r="180" spans="1:13" ht="13.5" customHeight="1">
      <c r="A180" s="153"/>
      <c r="B180" s="1200" t="s">
        <v>469</v>
      </c>
      <c r="C180" s="1201"/>
      <c r="D180" s="1201"/>
      <c r="E180" s="1201"/>
      <c r="F180" s="1201"/>
      <c r="G180" s="1201"/>
      <c r="H180" s="1201"/>
      <c r="I180" s="1201"/>
      <c r="J180" s="1201"/>
      <c r="K180" s="1201"/>
      <c r="L180" s="1201"/>
      <c r="M180" s="418"/>
    </row>
    <row r="181" spans="1:13" ht="13.5" customHeight="1">
      <c r="A181" s="153"/>
      <c r="B181" s="1200" t="s">
        <v>184</v>
      </c>
      <c r="C181" s="1201"/>
      <c r="D181" s="1201"/>
      <c r="E181" s="1201"/>
      <c r="F181" s="1201"/>
      <c r="G181" s="1201"/>
      <c r="H181" s="1201"/>
      <c r="I181" s="1201"/>
      <c r="J181" s="1201"/>
      <c r="K181" s="1201"/>
      <c r="L181" s="1201"/>
      <c r="M181" s="418"/>
    </row>
    <row r="182" spans="1:13" ht="16.5" customHeight="1">
      <c r="A182" s="153"/>
      <c r="B182" s="1200" t="s">
        <v>239</v>
      </c>
      <c r="C182" s="1201"/>
      <c r="D182" s="1201"/>
      <c r="E182" s="1201"/>
      <c r="F182" s="1201"/>
      <c r="G182" s="1201"/>
      <c r="H182" s="1201"/>
      <c r="I182" s="1201"/>
      <c r="J182" s="1201"/>
      <c r="K182" s="1201"/>
      <c r="L182" s="1201"/>
      <c r="M182" s="418"/>
    </row>
    <row r="183" spans="1:13" ht="12.75" customHeight="1">
      <c r="A183" s="153"/>
      <c r="B183" s="419">
        <f>'E S'!I47</f>
        <v>0.73079853333333333</v>
      </c>
      <c r="C183" s="1202" t="s">
        <v>588</v>
      </c>
      <c r="D183" s="1202"/>
      <c r="E183" s="1202"/>
      <c r="F183" s="1202"/>
      <c r="G183" s="1202"/>
      <c r="H183" s="1202"/>
      <c r="I183" s="1202"/>
      <c r="J183" s="1202"/>
      <c r="K183" s="1202"/>
      <c r="L183" s="1202"/>
      <c r="M183" s="420"/>
    </row>
    <row r="184" spans="1:13" ht="12.75" customHeight="1">
      <c r="A184" s="153"/>
      <c r="B184" s="419">
        <v>0.1462</v>
      </c>
      <c r="C184" s="1202" t="s">
        <v>241</v>
      </c>
      <c r="D184" s="1202"/>
      <c r="E184" s="1202"/>
      <c r="F184" s="1202"/>
      <c r="G184" s="1202"/>
      <c r="H184" s="1202"/>
      <c r="I184" s="1202"/>
      <c r="J184" s="1202"/>
      <c r="K184" s="1202"/>
      <c r="L184" s="1202"/>
      <c r="M184" s="420"/>
    </row>
    <row r="185" spans="1:13" ht="12.75" customHeight="1">
      <c r="A185" s="153"/>
      <c r="B185" s="419">
        <f>IF(G135&gt;14.25%,14.25%,G135)</f>
        <v>8.6499999999999994E-2</v>
      </c>
      <c r="C185" s="1202" t="s">
        <v>240</v>
      </c>
      <c r="D185" s="1202"/>
      <c r="E185" s="1202"/>
      <c r="F185" s="1202"/>
      <c r="G185" s="1202"/>
      <c r="H185" s="1202"/>
      <c r="I185" s="1202"/>
      <c r="J185" s="1202"/>
      <c r="K185" s="1202"/>
      <c r="L185" s="1202"/>
      <c r="M185" s="420"/>
    </row>
    <row r="186" spans="1:13" ht="27" customHeight="1">
      <c r="A186" s="153"/>
      <c r="B186" s="1226" t="s">
        <v>582</v>
      </c>
      <c r="C186" s="1227"/>
      <c r="D186" s="1227"/>
      <c r="E186" s="1227"/>
      <c r="F186" s="1227"/>
      <c r="G186" s="1227"/>
      <c r="H186" s="1227"/>
      <c r="I186" s="1227"/>
      <c r="J186" s="1227"/>
      <c r="K186" s="1227"/>
      <c r="L186" s="1227"/>
      <c r="M186" s="418"/>
    </row>
    <row r="187" spans="1:13" ht="36" customHeight="1">
      <c r="A187" s="153"/>
      <c r="B187" s="1226" t="s">
        <v>585</v>
      </c>
      <c r="C187" s="1227"/>
      <c r="D187" s="1227"/>
      <c r="E187" s="1227"/>
      <c r="F187" s="1227"/>
      <c r="G187" s="1227"/>
      <c r="H187" s="1227"/>
      <c r="I187" s="1227"/>
      <c r="J187" s="1227"/>
      <c r="K187" s="1227"/>
      <c r="L187" s="1227"/>
      <c r="M187" s="418"/>
    </row>
    <row r="188" spans="1:13" ht="36" customHeight="1">
      <c r="A188" s="153"/>
      <c r="B188" s="1226" t="s">
        <v>589</v>
      </c>
      <c r="C188" s="1227"/>
      <c r="D188" s="1227"/>
      <c r="E188" s="1227"/>
      <c r="F188" s="1227"/>
      <c r="G188" s="1227"/>
      <c r="H188" s="1227"/>
      <c r="I188" s="1227"/>
      <c r="J188" s="1227"/>
      <c r="K188" s="1227"/>
      <c r="L188" s="1227"/>
      <c r="M188" s="418"/>
    </row>
    <row r="189" spans="1:13" ht="47.25" customHeight="1">
      <c r="A189" s="153"/>
      <c r="B189" s="1200" t="s">
        <v>578</v>
      </c>
      <c r="C189" s="1201"/>
      <c r="D189" s="1201"/>
      <c r="E189" s="1201"/>
      <c r="F189" s="1201"/>
      <c r="G189" s="1201"/>
      <c r="H189" s="1201"/>
      <c r="I189" s="1201"/>
      <c r="J189" s="1201"/>
      <c r="K189" s="1201"/>
      <c r="L189" s="1201"/>
      <c r="M189" s="1223"/>
    </row>
    <row r="190" spans="1:13" ht="18.75" customHeight="1">
      <c r="A190" s="153"/>
      <c r="B190" s="1224" t="s">
        <v>560</v>
      </c>
      <c r="C190" s="1225"/>
      <c r="D190" s="1225"/>
      <c r="E190" s="1225"/>
      <c r="F190" s="1225"/>
      <c r="G190" s="1225"/>
      <c r="H190" s="1225"/>
      <c r="I190" s="1225"/>
      <c r="J190" s="1225"/>
      <c r="K190" s="1225"/>
      <c r="L190" s="1225"/>
      <c r="M190" s="418"/>
    </row>
    <row r="191" spans="1:13">
      <c r="A191" s="153"/>
      <c r="B191" s="1200" t="s">
        <v>561</v>
      </c>
      <c r="C191" s="1201"/>
      <c r="D191" s="1201"/>
      <c r="E191" s="1201"/>
      <c r="F191" s="1201"/>
      <c r="G191" s="1201"/>
      <c r="H191" s="1201"/>
      <c r="I191" s="1201"/>
      <c r="J191" s="1201"/>
      <c r="K191" s="1201"/>
      <c r="L191" s="1201"/>
      <c r="M191" s="1223"/>
    </row>
    <row r="192" spans="1:13" ht="17.25" customHeight="1" thickBot="1">
      <c r="A192" s="153"/>
      <c r="B192" s="1217">
        <f>Dados!C25</f>
        <v>0</v>
      </c>
      <c r="C192" s="1218"/>
      <c r="D192" s="1218"/>
      <c r="E192" s="1218"/>
      <c r="F192" s="1218"/>
      <c r="G192" s="1218"/>
      <c r="H192" s="1218"/>
      <c r="I192" s="1218"/>
      <c r="J192" s="1218"/>
      <c r="K192" s="1218"/>
      <c r="L192" s="1218"/>
      <c r="M192" s="1219"/>
    </row>
    <row r="193" spans="1:13" ht="42.75" customHeight="1" thickBot="1">
      <c r="A193" s="153"/>
      <c r="B193" s="353"/>
      <c r="C193" s="1216"/>
      <c r="D193" s="1216"/>
      <c r="E193" s="1216"/>
      <c r="F193" s="1216"/>
      <c r="G193" s="1216"/>
      <c r="H193" s="1216"/>
      <c r="I193" s="1216"/>
      <c r="J193" s="1216"/>
      <c r="K193" s="1216"/>
      <c r="L193" s="1216"/>
      <c r="M193" s="304"/>
    </row>
    <row r="194" spans="1:13">
      <c r="A194" s="153"/>
      <c r="B194" s="353"/>
      <c r="C194" s="1214"/>
      <c r="D194" s="1214"/>
      <c r="E194" s="417">
        <f ca="1">NOW()</f>
        <v>41206.651778935186</v>
      </c>
      <c r="F194" s="153"/>
      <c r="G194" s="153"/>
      <c r="H194" s="415"/>
      <c r="I194" s="416">
        <f>Dados!C4</f>
        <v>0</v>
      </c>
      <c r="J194" s="415"/>
      <c r="K194" s="415"/>
      <c r="L194" s="328"/>
      <c r="M194" s="148"/>
    </row>
  </sheetData>
  <sheetProtection password="CADB" sheet="1" formatCells="0" formatColumns="0" formatRows="0"/>
  <mergeCells count="265">
    <mergeCell ref="O65:P65"/>
    <mergeCell ref="O69:P69"/>
    <mergeCell ref="D170:E170"/>
    <mergeCell ref="H69:L69"/>
    <mergeCell ref="C70:F70"/>
    <mergeCell ref="H70:K70"/>
    <mergeCell ref="C71:F71"/>
    <mergeCell ref="H71:K71"/>
    <mergeCell ref="H78:K78"/>
    <mergeCell ref="C79:F79"/>
    <mergeCell ref="H74:K74"/>
    <mergeCell ref="C103:F103"/>
    <mergeCell ref="C104:F104"/>
    <mergeCell ref="G108:K108"/>
    <mergeCell ref="G107:K107"/>
    <mergeCell ref="G110:K110"/>
    <mergeCell ref="G109:K109"/>
    <mergeCell ref="B129:M129"/>
    <mergeCell ref="F169:L169"/>
    <mergeCell ref="F170:L170"/>
    <mergeCell ref="C77:F77"/>
    <mergeCell ref="H73:K73"/>
    <mergeCell ref="H77:K77"/>
    <mergeCell ref="C74:F74"/>
    <mergeCell ref="H72:K72"/>
    <mergeCell ref="C69:F69"/>
    <mergeCell ref="J65:K65"/>
    <mergeCell ref="C72:F72"/>
    <mergeCell ref="J28:K28"/>
    <mergeCell ref="B177:L177"/>
    <mergeCell ref="B188:L188"/>
    <mergeCell ref="B187:L187"/>
    <mergeCell ref="F164:L164"/>
    <mergeCell ref="D164:E164"/>
    <mergeCell ref="D167:E167"/>
    <mergeCell ref="B174:M174"/>
    <mergeCell ref="F167:L167"/>
    <mergeCell ref="F166:L166"/>
    <mergeCell ref="C75:F75"/>
    <mergeCell ref="C82:F82"/>
    <mergeCell ref="C83:F83"/>
    <mergeCell ref="C52:E52"/>
    <mergeCell ref="J42:K42"/>
    <mergeCell ref="F165:L165"/>
    <mergeCell ref="D165:E165"/>
    <mergeCell ref="D166:E166"/>
    <mergeCell ref="H89:L89"/>
    <mergeCell ref="H88:K88"/>
    <mergeCell ref="H85:K85"/>
    <mergeCell ref="H84:K84"/>
    <mergeCell ref="H87:K87"/>
    <mergeCell ref="H76:K76"/>
    <mergeCell ref="J57:K57"/>
    <mergeCell ref="J58:K58"/>
    <mergeCell ref="J31:K31"/>
    <mergeCell ref="J32:K32"/>
    <mergeCell ref="H80:K80"/>
    <mergeCell ref="H75:K75"/>
    <mergeCell ref="H82:K82"/>
    <mergeCell ref="H79:L79"/>
    <mergeCell ref="J56:K56"/>
    <mergeCell ref="J53:K53"/>
    <mergeCell ref="J54:K54"/>
    <mergeCell ref="J52:K52"/>
    <mergeCell ref="J40:K40"/>
    <mergeCell ref="J45:K45"/>
    <mergeCell ref="J43:K43"/>
    <mergeCell ref="J44:K44"/>
    <mergeCell ref="J59:K59"/>
    <mergeCell ref="B67:M67"/>
    <mergeCell ref="C15:E15"/>
    <mergeCell ref="J16:K16"/>
    <mergeCell ref="J23:K23"/>
    <mergeCell ref="J29:K29"/>
    <mergeCell ref="J24:K24"/>
    <mergeCell ref="J18:K18"/>
    <mergeCell ref="J19:K19"/>
    <mergeCell ref="J25:K25"/>
    <mergeCell ref="J26:K26"/>
    <mergeCell ref="J27:K27"/>
    <mergeCell ref="C18:E18"/>
    <mergeCell ref="C23:E23"/>
    <mergeCell ref="C22:E22"/>
    <mergeCell ref="C28:E28"/>
    <mergeCell ref="J20:K20"/>
    <mergeCell ref="J17:K17"/>
    <mergeCell ref="F2:M2"/>
    <mergeCell ref="B11:M11"/>
    <mergeCell ref="J15:K15"/>
    <mergeCell ref="B13:M13"/>
    <mergeCell ref="D5:L5"/>
    <mergeCell ref="B8:C8"/>
    <mergeCell ref="J39:K39"/>
    <mergeCell ref="J37:K37"/>
    <mergeCell ref="J38:K38"/>
    <mergeCell ref="J34:K34"/>
    <mergeCell ref="C16:E16"/>
    <mergeCell ref="C17:E17"/>
    <mergeCell ref="J33:K33"/>
    <mergeCell ref="J22:K22"/>
    <mergeCell ref="J21:K21"/>
    <mergeCell ref="J30:K30"/>
    <mergeCell ref="J35:K35"/>
    <mergeCell ref="J36:K36"/>
    <mergeCell ref="C38:E38"/>
    <mergeCell ref="C39:E39"/>
    <mergeCell ref="C19:E19"/>
    <mergeCell ref="C20:E20"/>
    <mergeCell ref="C21:E21"/>
    <mergeCell ref="C27:E27"/>
    <mergeCell ref="H91:K91"/>
    <mergeCell ref="C92:F92"/>
    <mergeCell ref="H92:K92"/>
    <mergeCell ref="D171:E171"/>
    <mergeCell ref="D168:E168"/>
    <mergeCell ref="D169:E169"/>
    <mergeCell ref="F168:L168"/>
    <mergeCell ref="F171:L171"/>
    <mergeCell ref="B126:B127"/>
    <mergeCell ref="H126:K126"/>
    <mergeCell ref="C127:F127"/>
    <mergeCell ref="B161:M161"/>
    <mergeCell ref="C94:F94"/>
    <mergeCell ref="C95:F95"/>
    <mergeCell ref="C50:E50"/>
    <mergeCell ref="C85:F85"/>
    <mergeCell ref="C53:E53"/>
    <mergeCell ref="C54:E54"/>
    <mergeCell ref="C56:E56"/>
    <mergeCell ref="C88:F88"/>
    <mergeCell ref="C86:F86"/>
    <mergeCell ref="C84:F84"/>
    <mergeCell ref="C57:E57"/>
    <mergeCell ref="C76:F76"/>
    <mergeCell ref="C81:F81"/>
    <mergeCell ref="C59:E59"/>
    <mergeCell ref="C55:E55"/>
    <mergeCell ref="C44:E44"/>
    <mergeCell ref="C45:E45"/>
    <mergeCell ref="C49:E49"/>
    <mergeCell ref="C35:E35"/>
    <mergeCell ref="C36:E36"/>
    <mergeCell ref="C37:E37"/>
    <mergeCell ref="J41:K41"/>
    <mergeCell ref="C51:E51"/>
    <mergeCell ref="C46:E46"/>
    <mergeCell ref="C47:E47"/>
    <mergeCell ref="J51:K51"/>
    <mergeCell ref="J50:K50"/>
    <mergeCell ref="C41:E41"/>
    <mergeCell ref="C42:E42"/>
    <mergeCell ref="C43:E43"/>
    <mergeCell ref="H97:K97"/>
    <mergeCell ref="H94:L94"/>
    <mergeCell ref="J46:K46"/>
    <mergeCell ref="J47:K47"/>
    <mergeCell ref="J48:K48"/>
    <mergeCell ref="C96:F96"/>
    <mergeCell ref="C97:F97"/>
    <mergeCell ref="B148:M148"/>
    <mergeCell ref="C155:L155"/>
    <mergeCell ref="M131:M133"/>
    <mergeCell ref="H131:K131"/>
    <mergeCell ref="G106:K106"/>
    <mergeCell ref="A123:M123"/>
    <mergeCell ref="G114:K114"/>
    <mergeCell ref="C118:K118"/>
    <mergeCell ref="C117:F117"/>
    <mergeCell ref="C107:F107"/>
    <mergeCell ref="C48:E48"/>
    <mergeCell ref="C111:F111"/>
    <mergeCell ref="C78:F78"/>
    <mergeCell ref="H83:K83"/>
    <mergeCell ref="C89:F89"/>
    <mergeCell ref="C87:F87"/>
    <mergeCell ref="C93:F93"/>
    <mergeCell ref="C106:F106"/>
    <mergeCell ref="C112:F112"/>
    <mergeCell ref="C110:F110"/>
    <mergeCell ref="G111:K111"/>
    <mergeCell ref="C194:D194"/>
    <mergeCell ref="B182:L182"/>
    <mergeCell ref="B173:L173"/>
    <mergeCell ref="C193:L193"/>
    <mergeCell ref="B192:M192"/>
    <mergeCell ref="B178:L178"/>
    <mergeCell ref="B181:L181"/>
    <mergeCell ref="B176:M176"/>
    <mergeCell ref="B189:M189"/>
    <mergeCell ref="C185:L185"/>
    <mergeCell ref="B191:M191"/>
    <mergeCell ref="B190:L190"/>
    <mergeCell ref="C184:L184"/>
    <mergeCell ref="B186:L186"/>
    <mergeCell ref="C114:F114"/>
    <mergeCell ref="G112:K112"/>
    <mergeCell ref="D163:E163"/>
    <mergeCell ref="C144:E144"/>
    <mergeCell ref="C130:L130"/>
    <mergeCell ref="C145:E145"/>
    <mergeCell ref="B180:L180"/>
    <mergeCell ref="C183:L183"/>
    <mergeCell ref="B175:L175"/>
    <mergeCell ref="C113:F113"/>
    <mergeCell ref="G115:K115"/>
    <mergeCell ref="B179:L179"/>
    <mergeCell ref="B124:M124"/>
    <mergeCell ref="K159:M159"/>
    <mergeCell ref="C156:K156"/>
    <mergeCell ref="F163:L163"/>
    <mergeCell ref="B122:M122"/>
    <mergeCell ref="C116:F116"/>
    <mergeCell ref="G116:K116"/>
    <mergeCell ref="G117:K117"/>
    <mergeCell ref="C120:K120"/>
    <mergeCell ref="C115:F115"/>
    <mergeCell ref="M126:M127"/>
    <mergeCell ref="C30:E30"/>
    <mergeCell ref="C31:E31"/>
    <mergeCell ref="C24:E24"/>
    <mergeCell ref="C25:E25"/>
    <mergeCell ref="C26:E26"/>
    <mergeCell ref="C29:E29"/>
    <mergeCell ref="C40:E40"/>
    <mergeCell ref="G104:K104"/>
    <mergeCell ref="G102:K102"/>
    <mergeCell ref="C32:E32"/>
    <mergeCell ref="C34:E34"/>
    <mergeCell ref="J49:K49"/>
    <mergeCell ref="H96:K96"/>
    <mergeCell ref="H93:K93"/>
    <mergeCell ref="B100:M100"/>
    <mergeCell ref="C91:F91"/>
    <mergeCell ref="C98:K98"/>
    <mergeCell ref="C80:F80"/>
    <mergeCell ref="C73:F73"/>
    <mergeCell ref="J55:K55"/>
    <mergeCell ref="C58:E58"/>
    <mergeCell ref="H95:K95"/>
    <mergeCell ref="G103:K103"/>
    <mergeCell ref="C33:E33"/>
    <mergeCell ref="O163:P163"/>
    <mergeCell ref="J61:K61"/>
    <mergeCell ref="C63:K63"/>
    <mergeCell ref="C138:F138"/>
    <mergeCell ref="C126:F126"/>
    <mergeCell ref="H127:K127"/>
    <mergeCell ref="C135:F135"/>
    <mergeCell ref="J144:K144"/>
    <mergeCell ref="C90:F90"/>
    <mergeCell ref="O159:P159"/>
    <mergeCell ref="O161:P161"/>
    <mergeCell ref="B141:M141"/>
    <mergeCell ref="H137:K137"/>
    <mergeCell ref="H159:J159"/>
    <mergeCell ref="J145:K145"/>
    <mergeCell ref="C146:K146"/>
    <mergeCell ref="B159:E159"/>
    <mergeCell ref="C150:L154"/>
    <mergeCell ref="C139:K139"/>
    <mergeCell ref="C102:F102"/>
    <mergeCell ref="G105:K105"/>
    <mergeCell ref="C109:F109"/>
    <mergeCell ref="C108:F108"/>
    <mergeCell ref="C105:F105"/>
  </mergeCells>
  <phoneticPr fontId="0" type="noConversion"/>
  <pageMargins left="0.53" right="0.19685039370078741" top="0.44" bottom="0.44" header="0.21" footer="0.21"/>
  <pageSetup paperSize="9" scale="75" orientation="portrait" blackAndWhite="1" horizontalDpi="300" verticalDpi="300" r:id="rId1"/>
  <headerFooter alignWithMargins="0">
    <oddFooter>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32"/>
    <pageSetUpPr autoPageBreaks="0"/>
  </sheetPr>
  <dimension ref="A1:P194"/>
  <sheetViews>
    <sheetView showGridLines="0" showZeros="0" workbookViewId="0">
      <selection activeCell="C16" sqref="C16:E16"/>
    </sheetView>
  </sheetViews>
  <sheetFormatPr defaultRowHeight="12.75"/>
  <cols>
    <col min="1" max="1" width="1" style="214" customWidth="1"/>
    <col min="2" max="2" width="6.7109375" style="318" customWidth="1"/>
    <col min="3" max="3" width="6.7109375" style="214" customWidth="1"/>
    <col min="4" max="4" width="8" style="214" customWidth="1"/>
    <col min="5" max="5" width="23.42578125" style="214" customWidth="1"/>
    <col min="6" max="6" width="12.140625" style="214" customWidth="1"/>
    <col min="7" max="7" width="13.140625" style="214" customWidth="1"/>
    <col min="8" max="8" width="12.42578125" style="214" customWidth="1"/>
    <col min="9" max="9" width="11.85546875" style="214" customWidth="1"/>
    <col min="10" max="10" width="5" style="214" customWidth="1"/>
    <col min="11" max="11" width="6.5703125" style="214" customWidth="1"/>
    <col min="12" max="12" width="14.7109375" style="319" customWidth="1"/>
    <col min="13" max="13" width="0.5703125" style="214" customWidth="1"/>
    <col min="14" max="14" width="1.85546875" style="214" customWidth="1"/>
    <col min="15" max="15" width="13" style="214" hidden="1" customWidth="1"/>
    <col min="16" max="16384" width="9.140625" style="214"/>
  </cols>
  <sheetData>
    <row r="1" spans="1:13" ht="5.25" customHeight="1"/>
    <row r="2" spans="1:13" ht="47.25" customHeight="1" thickBot="1">
      <c r="A2" s="153"/>
      <c r="B2" s="320"/>
      <c r="C2" s="321"/>
      <c r="D2" s="322"/>
      <c r="E2" s="322"/>
      <c r="F2" s="1265" t="str">
        <f>Dados!C12</f>
        <v>Planilha de Custos e Formação de Preços de Serviços Contínuos de Vigilância Armada Motorizada para o SBGL</v>
      </c>
      <c r="G2" s="1265"/>
      <c r="H2" s="1265"/>
      <c r="I2" s="1265"/>
      <c r="J2" s="1265"/>
      <c r="K2" s="1265"/>
      <c r="L2" s="1265"/>
      <c r="M2" s="1266"/>
    </row>
    <row r="3" spans="1:13" ht="3.75" customHeight="1" thickBot="1">
      <c r="A3" s="153"/>
      <c r="B3" s="323"/>
      <c r="C3" s="324"/>
      <c r="D3" s="325"/>
      <c r="E3" s="325"/>
      <c r="F3" s="325"/>
      <c r="G3" s="325"/>
      <c r="H3" s="325"/>
      <c r="I3" s="325"/>
      <c r="J3" s="325"/>
      <c r="K3" s="325"/>
      <c r="L3" s="326"/>
      <c r="M3" s="325"/>
    </row>
    <row r="4" spans="1:13" ht="3.75" customHeight="1">
      <c r="A4" s="153"/>
      <c r="B4" s="327"/>
      <c r="C4" s="178"/>
      <c r="D4" s="153"/>
      <c r="E4" s="178"/>
      <c r="F4" s="153"/>
      <c r="G4" s="153"/>
      <c r="H4" s="153"/>
      <c r="I4" s="153"/>
      <c r="J4" s="153"/>
      <c r="K4" s="153"/>
      <c r="L4" s="328"/>
      <c r="M4" s="329"/>
    </row>
    <row r="5" spans="1:13" ht="35.25" customHeight="1">
      <c r="A5" s="153"/>
      <c r="B5" s="327"/>
      <c r="C5" s="393" t="s">
        <v>131</v>
      </c>
      <c r="D5" s="1275" t="str">
        <f>Dados!C10</f>
        <v>Contratação de empresa para prestação dos serviços de Vigilância  Armada Motorizada para o Aeroporto Internacional do Rio de Janeiro/Galeão - Antonio Carlos Jobim</v>
      </c>
      <c r="E5" s="1276"/>
      <c r="F5" s="1276"/>
      <c r="G5" s="1276"/>
      <c r="H5" s="1276"/>
      <c r="I5" s="1276"/>
      <c r="J5" s="1276"/>
      <c r="K5" s="1276"/>
      <c r="L5" s="1277"/>
      <c r="M5" s="329"/>
    </row>
    <row r="6" spans="1:13" ht="3.75" customHeight="1">
      <c r="A6" s="153"/>
      <c r="B6" s="327"/>
      <c r="C6" s="178"/>
      <c r="D6" s="153"/>
      <c r="E6" s="178"/>
      <c r="F6" s="153"/>
      <c r="G6" s="153"/>
      <c r="H6" s="153"/>
      <c r="I6" s="153"/>
      <c r="J6" s="153"/>
      <c r="K6" s="153"/>
      <c r="L6" s="328"/>
      <c r="M6" s="329"/>
    </row>
    <row r="7" spans="1:13">
      <c r="A7" s="153"/>
      <c r="B7" s="392"/>
      <c r="C7" s="856" t="s">
        <v>132</v>
      </c>
      <c r="D7" s="330"/>
      <c r="E7" s="394" t="s">
        <v>206</v>
      </c>
      <c r="F7" s="331"/>
      <c r="G7" s="394" t="s">
        <v>133</v>
      </c>
      <c r="H7" s="331"/>
      <c r="I7" s="394" t="s">
        <v>218</v>
      </c>
      <c r="J7" s="318"/>
      <c r="K7" s="330"/>
      <c r="L7" s="394" t="s">
        <v>217</v>
      </c>
      <c r="M7" s="329"/>
    </row>
    <row r="8" spans="1:13">
      <c r="A8" s="153"/>
      <c r="B8" s="1278">
        <f>L139</f>
        <v>0</v>
      </c>
      <c r="C8" s="1279"/>
      <c r="E8" s="854">
        <f>(L145+L157)</f>
        <v>0</v>
      </c>
      <c r="G8" s="855">
        <f>ROUND((B8*F159)+E8,2)</f>
        <v>0</v>
      </c>
      <c r="I8" s="855">
        <f>Dados!C20</f>
        <v>0</v>
      </c>
      <c r="J8" s="318"/>
      <c r="K8" s="330"/>
      <c r="L8" s="855">
        <f>ROUND(G8+I8,2)</f>
        <v>0</v>
      </c>
      <c r="M8" s="329"/>
    </row>
    <row r="9" spans="1:13" ht="3.75" customHeight="1" thickBot="1">
      <c r="A9" s="153"/>
      <c r="B9" s="332"/>
      <c r="C9" s="333"/>
      <c r="D9" s="334"/>
      <c r="E9" s="334"/>
      <c r="F9" s="335"/>
      <c r="G9" s="335"/>
      <c r="H9" s="335"/>
      <c r="I9" s="335"/>
      <c r="J9" s="335"/>
      <c r="K9" s="335"/>
      <c r="L9" s="336"/>
      <c r="M9" s="337"/>
    </row>
    <row r="10" spans="1:13" ht="2.25" customHeight="1" thickBot="1">
      <c r="A10" s="153"/>
      <c r="C10" s="196"/>
      <c r="D10" s="148"/>
      <c r="E10" s="148"/>
      <c r="F10" s="148"/>
      <c r="G10" s="148"/>
      <c r="H10" s="148"/>
      <c r="I10" s="148"/>
      <c r="J10" s="148"/>
      <c r="K10" s="148"/>
      <c r="L10" s="199"/>
      <c r="M10" s="148"/>
    </row>
    <row r="11" spans="1:13" ht="13.5" thickBot="1">
      <c r="A11" s="153"/>
      <c r="B11" s="1267" t="s">
        <v>134</v>
      </c>
      <c r="C11" s="1268"/>
      <c r="D11" s="1268"/>
      <c r="E11" s="1268"/>
      <c r="F11" s="1268"/>
      <c r="G11" s="1268"/>
      <c r="H11" s="1268"/>
      <c r="I11" s="1268"/>
      <c r="J11" s="1268"/>
      <c r="K11" s="1268"/>
      <c r="L11" s="1268"/>
      <c r="M11" s="1269"/>
    </row>
    <row r="12" spans="1:13" ht="6.75" customHeight="1" thickBot="1">
      <c r="A12" s="153"/>
      <c r="B12" s="338"/>
      <c r="C12" s="218"/>
      <c r="D12" s="178"/>
      <c r="E12" s="178"/>
      <c r="F12" s="178"/>
      <c r="G12" s="178"/>
      <c r="H12" s="178"/>
      <c r="I12" s="178"/>
      <c r="J12" s="178"/>
      <c r="K12" s="178"/>
      <c r="L12" s="199"/>
      <c r="M12" s="148"/>
    </row>
    <row r="13" spans="1:13" ht="13.5" thickBot="1">
      <c r="A13" s="153"/>
      <c r="B13" s="1272" t="s">
        <v>135</v>
      </c>
      <c r="C13" s="1273"/>
      <c r="D13" s="1273"/>
      <c r="E13" s="1273"/>
      <c r="F13" s="1273"/>
      <c r="G13" s="1273"/>
      <c r="H13" s="1273"/>
      <c r="I13" s="1273"/>
      <c r="J13" s="1273"/>
      <c r="K13" s="1273"/>
      <c r="L13" s="1273"/>
      <c r="M13" s="1274"/>
    </row>
    <row r="14" spans="1:13" ht="3.75" customHeight="1" thickBot="1">
      <c r="A14" s="153"/>
      <c r="B14" s="338"/>
      <c r="C14" s="218"/>
      <c r="D14" s="178"/>
      <c r="E14" s="178"/>
      <c r="F14" s="178"/>
      <c r="G14" s="178"/>
      <c r="H14" s="178"/>
      <c r="I14" s="178"/>
      <c r="J14" s="178"/>
      <c r="K14" s="178"/>
      <c r="L14" s="199"/>
      <c r="M14" s="148"/>
    </row>
    <row r="15" spans="1:13" s="257" customFormat="1" ht="23.25" customHeight="1" thickBot="1">
      <c r="A15" s="339"/>
      <c r="B15" s="395" t="s">
        <v>65</v>
      </c>
      <c r="C15" s="1281" t="s">
        <v>37</v>
      </c>
      <c r="D15" s="1281"/>
      <c r="E15" s="1281"/>
      <c r="F15" s="396" t="s">
        <v>36</v>
      </c>
      <c r="G15" s="396" t="s">
        <v>159</v>
      </c>
      <c r="H15" s="397" t="s">
        <v>223</v>
      </c>
      <c r="I15" s="396" t="s">
        <v>111</v>
      </c>
      <c r="J15" s="1270" t="s">
        <v>224</v>
      </c>
      <c r="K15" s="1271"/>
      <c r="L15" s="398" t="s">
        <v>38</v>
      </c>
      <c r="M15" s="340"/>
    </row>
    <row r="16" spans="1:13">
      <c r="A16" s="153"/>
      <c r="B16" s="850">
        <f>Benefícios!F13</f>
        <v>2</v>
      </c>
      <c r="C16" s="1280" t="str">
        <f>Efetivo!B13</f>
        <v>Vigilante Patrulha 05 Eixo Viário Móvel DIURNO</v>
      </c>
      <c r="D16" s="1280"/>
      <c r="E16" s="1280"/>
      <c r="F16" s="851">
        <f>Efetivo!T13</f>
        <v>0</v>
      </c>
      <c r="G16" s="851">
        <f>Efetivo!AC13</f>
        <v>0</v>
      </c>
      <c r="H16" s="851">
        <f>Efetivo!AK13</f>
        <v>0</v>
      </c>
      <c r="I16" s="851">
        <f>Efetivo!AO13</f>
        <v>0</v>
      </c>
      <c r="J16" s="1187">
        <f>SUM(Efetivo!AE13+Efetivo!AW13+Efetivo!AQ13+Efetivo!AY13+Efetivo!BL13)</f>
        <v>0</v>
      </c>
      <c r="K16" s="1188"/>
      <c r="L16" s="851">
        <f>Consolidado_Geral!L16</f>
        <v>0</v>
      </c>
      <c r="M16" s="341"/>
    </row>
    <row r="17" spans="1:13" ht="12.75" customHeight="1">
      <c r="A17" s="153"/>
      <c r="B17" s="850">
        <f>Benefícios!F14</f>
        <v>2</v>
      </c>
      <c r="C17" s="1182" t="str">
        <f>Efetivo!B14</f>
        <v>Vigilante Patrulha 05 Eixo Viário Móvel NOTURNO</v>
      </c>
      <c r="D17" s="1182"/>
      <c r="E17" s="1182"/>
      <c r="F17" s="851">
        <f>Efetivo!T14</f>
        <v>0</v>
      </c>
      <c r="G17" s="853">
        <f>Efetivo!AC14</f>
        <v>0</v>
      </c>
      <c r="H17" s="851">
        <f>Efetivo!AK14</f>
        <v>0</v>
      </c>
      <c r="I17" s="853">
        <f>Efetivo!AO14</f>
        <v>0</v>
      </c>
      <c r="J17" s="1187">
        <f>SUM(Efetivo!AE14+Efetivo!AW14+Efetivo!AQ14+Efetivo!AY14+Efetivo!BL14)</f>
        <v>0</v>
      </c>
      <c r="K17" s="1188"/>
      <c r="L17" s="851">
        <f>Consolidado_Geral!L17</f>
        <v>0</v>
      </c>
      <c r="M17" s="341"/>
    </row>
    <row r="18" spans="1:13" ht="12.75" customHeight="1">
      <c r="A18" s="153"/>
      <c r="B18" s="850">
        <f>Benefícios!F15</f>
        <v>2</v>
      </c>
      <c r="C18" s="1182" t="str">
        <f>Efetivo!B15</f>
        <v>Vigilante Patrulha 06 Sistema 15 x 33 DIURNO</v>
      </c>
      <c r="D18" s="1182"/>
      <c r="E18" s="1182"/>
      <c r="F18" s="851">
        <f>Efetivo!T15</f>
        <v>0</v>
      </c>
      <c r="G18" s="853">
        <f>Efetivo!AC15</f>
        <v>0</v>
      </c>
      <c r="H18" s="851">
        <f>Efetivo!AK15</f>
        <v>0</v>
      </c>
      <c r="I18" s="853">
        <f>Efetivo!AO15</f>
        <v>0</v>
      </c>
      <c r="J18" s="1187">
        <f>SUM(Efetivo!AE15+Efetivo!AW15+Efetivo!AQ15+Efetivo!AY15+Efetivo!BL15)</f>
        <v>0</v>
      </c>
      <c r="K18" s="1188"/>
      <c r="L18" s="851">
        <f>Consolidado_Geral!L18</f>
        <v>0</v>
      </c>
      <c r="M18" s="341"/>
    </row>
    <row r="19" spans="1:13" ht="12.75" customHeight="1">
      <c r="A19" s="153"/>
      <c r="B19" s="850">
        <f>Benefícios!F16</f>
        <v>2</v>
      </c>
      <c r="C19" s="1182" t="str">
        <f>Efetivo!B16</f>
        <v>Vigilante Patrulha 06 Sistema 15 x 33 NOTURNO</v>
      </c>
      <c r="D19" s="1182"/>
      <c r="E19" s="1182"/>
      <c r="F19" s="851">
        <f>Efetivo!T16</f>
        <v>0</v>
      </c>
      <c r="G19" s="853">
        <f>Efetivo!AC16</f>
        <v>0</v>
      </c>
      <c r="H19" s="851">
        <f>Efetivo!AK16</f>
        <v>0</v>
      </c>
      <c r="I19" s="853">
        <f>Efetivo!AO16</f>
        <v>0</v>
      </c>
      <c r="J19" s="1187">
        <f>SUM(Efetivo!AE16+Efetivo!AW16+Efetivo!AQ16+Efetivo!AY16+Efetivo!BL16)</f>
        <v>0</v>
      </c>
      <c r="K19" s="1188"/>
      <c r="L19" s="851">
        <f>Consolidado_Geral!L19</f>
        <v>0</v>
      </c>
      <c r="M19" s="341"/>
    </row>
    <row r="20" spans="1:13">
      <c r="A20" s="153"/>
      <c r="B20" s="850">
        <f>Benefícios!F17</f>
        <v>2</v>
      </c>
      <c r="C20" s="1182" t="str">
        <f>Efetivo!B17</f>
        <v>Vigilante Patrulha 08 Eixo Viário Fixo DIURNO</v>
      </c>
      <c r="D20" s="1182"/>
      <c r="E20" s="1182"/>
      <c r="F20" s="851">
        <f>Efetivo!T17</f>
        <v>0</v>
      </c>
      <c r="G20" s="853">
        <f>Efetivo!AC17</f>
        <v>0</v>
      </c>
      <c r="H20" s="851">
        <f>Efetivo!AK17</f>
        <v>0</v>
      </c>
      <c r="I20" s="853">
        <f>Efetivo!AO17</f>
        <v>0</v>
      </c>
      <c r="J20" s="1187">
        <f>SUM(Efetivo!AE17+Efetivo!AW17+Efetivo!AQ17+Efetivo!AY17+Efetivo!BL17)</f>
        <v>0</v>
      </c>
      <c r="K20" s="1188"/>
      <c r="L20" s="851">
        <f>Consolidado_Geral!L20</f>
        <v>0</v>
      </c>
      <c r="M20" s="341"/>
    </row>
    <row r="21" spans="1:13">
      <c r="A21" s="153"/>
      <c r="B21" s="850">
        <f>Benefícios!F18</f>
        <v>2</v>
      </c>
      <c r="C21" s="1182" t="str">
        <f>Efetivo!B18</f>
        <v>Vigilante Patrulha 08 Eixo Viário Fixo NOTURNO</v>
      </c>
      <c r="D21" s="1182"/>
      <c r="E21" s="1182"/>
      <c r="F21" s="851">
        <f>Efetivo!T18</f>
        <v>0</v>
      </c>
      <c r="G21" s="853">
        <f>Efetivo!AC18</f>
        <v>0</v>
      </c>
      <c r="H21" s="851">
        <f>Efetivo!AK18</f>
        <v>0</v>
      </c>
      <c r="I21" s="853">
        <f>Efetivo!AO18</f>
        <v>0</v>
      </c>
      <c r="J21" s="1187">
        <f>SUM(Efetivo!AE18+Efetivo!AW18+Efetivo!AQ18+Efetivo!AY18+Efetivo!BL18)</f>
        <v>0</v>
      </c>
      <c r="K21" s="1188"/>
      <c r="L21" s="851">
        <f>Consolidado_Geral!L21</f>
        <v>0</v>
      </c>
      <c r="M21" s="341"/>
    </row>
    <row r="22" spans="1:13">
      <c r="A22" s="153"/>
      <c r="B22" s="850">
        <f>Benefícios!F19</f>
        <v>2</v>
      </c>
      <c r="C22" s="1182" t="str">
        <f>Efetivo!B19</f>
        <v>Vigilante Patrulha 10 Sistema 10 x 28 DIURNO</v>
      </c>
      <c r="D22" s="1182"/>
      <c r="E22" s="1182"/>
      <c r="F22" s="851">
        <f>Efetivo!T19</f>
        <v>0</v>
      </c>
      <c r="G22" s="853">
        <f>Efetivo!AC19</f>
        <v>0</v>
      </c>
      <c r="H22" s="851">
        <f>Efetivo!AK19</f>
        <v>0</v>
      </c>
      <c r="I22" s="853">
        <f>Efetivo!AO19</f>
        <v>0</v>
      </c>
      <c r="J22" s="1187">
        <f>SUM(Efetivo!AE19+Efetivo!AW19+Efetivo!AQ19+Efetivo!AY19+Efetivo!BL19)</f>
        <v>0</v>
      </c>
      <c r="K22" s="1188"/>
      <c r="L22" s="851">
        <f>Consolidado_Geral!L22</f>
        <v>0</v>
      </c>
      <c r="M22" s="341"/>
    </row>
    <row r="23" spans="1:13">
      <c r="A23" s="153"/>
      <c r="B23" s="850">
        <f>Benefícios!F20</f>
        <v>2</v>
      </c>
      <c r="C23" s="1182" t="str">
        <f>Efetivo!B20</f>
        <v>Vigilante Patrulha 10 Sistema 10 x 28 NOTURNO</v>
      </c>
      <c r="D23" s="1182"/>
      <c r="E23" s="1182"/>
      <c r="F23" s="851">
        <f>Efetivo!T20</f>
        <v>0</v>
      </c>
      <c r="G23" s="853">
        <f>Efetivo!AC20</f>
        <v>0</v>
      </c>
      <c r="H23" s="851">
        <f>Efetivo!AK20</f>
        <v>0</v>
      </c>
      <c r="I23" s="853">
        <f>Efetivo!AO20</f>
        <v>0</v>
      </c>
      <c r="J23" s="1187">
        <f>SUM(Efetivo!AE20+Efetivo!AW20+Efetivo!AQ20+Efetivo!AY20+Efetivo!BL20)</f>
        <v>0</v>
      </c>
      <c r="K23" s="1188"/>
      <c r="L23" s="851">
        <f>Consolidado_Geral!L23</f>
        <v>0</v>
      </c>
      <c r="M23" s="341"/>
    </row>
    <row r="24" spans="1:13">
      <c r="A24" s="153"/>
      <c r="B24" s="850">
        <f>Benefícios!F21</f>
        <v>1</v>
      </c>
      <c r="C24" s="1182" t="str">
        <f>Efetivo!B21</f>
        <v>Vigilante Patrulha 11 Supervisão DIURNO</v>
      </c>
      <c r="D24" s="1182"/>
      <c r="E24" s="1182"/>
      <c r="F24" s="851">
        <f>Efetivo!T21</f>
        <v>0</v>
      </c>
      <c r="G24" s="853">
        <f>Efetivo!AC21</f>
        <v>0</v>
      </c>
      <c r="H24" s="851">
        <f>Efetivo!AK21</f>
        <v>0</v>
      </c>
      <c r="I24" s="853">
        <f>Efetivo!AO21</f>
        <v>0</v>
      </c>
      <c r="J24" s="1187">
        <f>SUM(Efetivo!AE21+Efetivo!AW21+Efetivo!AQ21+Efetivo!AY21+Efetivo!BL21)</f>
        <v>0</v>
      </c>
      <c r="K24" s="1188"/>
      <c r="L24" s="851">
        <f>Consolidado_Geral!L24</f>
        <v>0</v>
      </c>
      <c r="M24" s="341"/>
    </row>
    <row r="25" spans="1:13">
      <c r="A25" s="153"/>
      <c r="B25" s="850">
        <f>Benefícios!F22</f>
        <v>1</v>
      </c>
      <c r="C25" s="1182" t="str">
        <f>Efetivo!B22</f>
        <v>Vigilante Patrulha 11 Supervisão NOTURNO</v>
      </c>
      <c r="D25" s="1182"/>
      <c r="E25" s="1182"/>
      <c r="F25" s="851">
        <f>Efetivo!T22</f>
        <v>0</v>
      </c>
      <c r="G25" s="853">
        <f>Efetivo!AC22</f>
        <v>0</v>
      </c>
      <c r="H25" s="851">
        <f>Efetivo!AK22</f>
        <v>0</v>
      </c>
      <c r="I25" s="853">
        <f>Efetivo!AO22</f>
        <v>0</v>
      </c>
      <c r="J25" s="1187">
        <f>SUM(Efetivo!AE22+Efetivo!AW22+Efetivo!AQ22+Efetivo!AY22+Efetivo!BL22)</f>
        <v>0</v>
      </c>
      <c r="K25" s="1188"/>
      <c r="L25" s="851">
        <f>Consolidado_Geral!L25</f>
        <v>0</v>
      </c>
      <c r="M25" s="341"/>
    </row>
    <row r="26" spans="1:13">
      <c r="A26" s="153"/>
      <c r="B26" s="850">
        <f>Benefícios!F23</f>
        <v>1</v>
      </c>
      <c r="C26" s="1182" t="str">
        <f>Efetivo!B23</f>
        <v>Supervisor Patrulha 11 Supervisão DIURNO</v>
      </c>
      <c r="D26" s="1182"/>
      <c r="E26" s="1182"/>
      <c r="F26" s="851">
        <f>Efetivo!T23</f>
        <v>0</v>
      </c>
      <c r="G26" s="853">
        <f>Efetivo!AC23</f>
        <v>0</v>
      </c>
      <c r="H26" s="851">
        <f>Efetivo!AK23</f>
        <v>0</v>
      </c>
      <c r="I26" s="853">
        <f>Efetivo!AO23</f>
        <v>0</v>
      </c>
      <c r="J26" s="1187">
        <f>SUM(Efetivo!AE23+Efetivo!AW23+Efetivo!AQ23+Efetivo!AY23+Efetivo!BL23)</f>
        <v>0</v>
      </c>
      <c r="K26" s="1188"/>
      <c r="L26" s="851">
        <f>Consolidado_Geral!L26</f>
        <v>0</v>
      </c>
      <c r="M26" s="341"/>
    </row>
    <row r="27" spans="1:13">
      <c r="A27" s="153"/>
      <c r="B27" s="850">
        <f>Benefícios!F24</f>
        <v>1</v>
      </c>
      <c r="C27" s="1182" t="str">
        <f>Efetivo!B24</f>
        <v>Supervisor Patrulha 11 Supervisão NOTURNO</v>
      </c>
      <c r="D27" s="1182"/>
      <c r="E27" s="1182"/>
      <c r="F27" s="851">
        <f>Efetivo!T24</f>
        <v>0</v>
      </c>
      <c r="G27" s="853">
        <f>Efetivo!AC24</f>
        <v>0</v>
      </c>
      <c r="H27" s="851">
        <f>Efetivo!AK24</f>
        <v>0</v>
      </c>
      <c r="I27" s="853">
        <f>Efetivo!AO24</f>
        <v>0</v>
      </c>
      <c r="J27" s="1187">
        <f>SUM(Efetivo!AE24+Efetivo!AW24+Efetivo!AQ24+Efetivo!AY24+Efetivo!BL24)</f>
        <v>0</v>
      </c>
      <c r="K27" s="1188"/>
      <c r="L27" s="851">
        <f>Consolidado_Geral!L27</f>
        <v>0</v>
      </c>
      <c r="M27" s="341"/>
    </row>
    <row r="28" spans="1:13">
      <c r="A28" s="153"/>
      <c r="B28" s="850">
        <f>Benefícios!F25</f>
        <v>0</v>
      </c>
      <c r="C28" s="1182">
        <f>Efetivo!B25</f>
        <v>0</v>
      </c>
      <c r="D28" s="1182"/>
      <c r="E28" s="1182"/>
      <c r="F28" s="851">
        <f>Efetivo!T25</f>
        <v>0</v>
      </c>
      <c r="G28" s="853">
        <f>Efetivo!AC25</f>
        <v>0</v>
      </c>
      <c r="H28" s="851">
        <f>Efetivo!AK25</f>
        <v>0</v>
      </c>
      <c r="I28" s="853">
        <f>Efetivo!AO25</f>
        <v>0</v>
      </c>
      <c r="J28" s="1187">
        <f>SUM(Efetivo!AE25+Efetivo!AW25+Efetivo!AQ25+Efetivo!AY25+Efetivo!BL25)</f>
        <v>0</v>
      </c>
      <c r="K28" s="1188"/>
      <c r="L28" s="851">
        <f>Consolidado_Geral!L28</f>
        <v>0</v>
      </c>
      <c r="M28" s="341"/>
    </row>
    <row r="29" spans="1:13">
      <c r="A29" s="153"/>
      <c r="B29" s="850">
        <f>Benefícios!F26</f>
        <v>0</v>
      </c>
      <c r="C29" s="1182">
        <f>Efetivo!B26</f>
        <v>0</v>
      </c>
      <c r="D29" s="1182"/>
      <c r="E29" s="1182"/>
      <c r="F29" s="851">
        <f>Efetivo!T26</f>
        <v>0</v>
      </c>
      <c r="G29" s="853">
        <f>Efetivo!AC26</f>
        <v>0</v>
      </c>
      <c r="H29" s="851">
        <f>Efetivo!AK26</f>
        <v>0</v>
      </c>
      <c r="I29" s="853">
        <f>Efetivo!AO26</f>
        <v>0</v>
      </c>
      <c r="J29" s="1187">
        <f>SUM(Efetivo!AE26+Efetivo!AW26+Efetivo!AQ26+Efetivo!AY26+Efetivo!BL26)</f>
        <v>0</v>
      </c>
      <c r="K29" s="1188"/>
      <c r="L29" s="851">
        <f>Consolidado_Geral!L29</f>
        <v>0</v>
      </c>
      <c r="M29" s="341"/>
    </row>
    <row r="30" spans="1:13">
      <c r="A30" s="153"/>
      <c r="B30" s="850">
        <f>Benefícios!F27</f>
        <v>0</v>
      </c>
      <c r="C30" s="1182">
        <f>Efetivo!B27</f>
        <v>0</v>
      </c>
      <c r="D30" s="1182"/>
      <c r="E30" s="1182"/>
      <c r="F30" s="851">
        <f>Efetivo!T27</f>
        <v>0</v>
      </c>
      <c r="G30" s="853">
        <f>Efetivo!AC27</f>
        <v>0</v>
      </c>
      <c r="H30" s="851">
        <f>Efetivo!AK27</f>
        <v>0</v>
      </c>
      <c r="I30" s="853">
        <f>Efetivo!AO27</f>
        <v>0</v>
      </c>
      <c r="J30" s="1187">
        <f>SUM(Efetivo!AE27+Efetivo!AW27+Efetivo!AQ27+Efetivo!AY27+Efetivo!BL27)</f>
        <v>0</v>
      </c>
      <c r="K30" s="1188"/>
      <c r="L30" s="851">
        <f>Consolidado_Geral!L30</f>
        <v>0</v>
      </c>
      <c r="M30" s="341"/>
    </row>
    <row r="31" spans="1:13">
      <c r="A31" s="153"/>
      <c r="B31" s="850">
        <f>Benefícios!F28</f>
        <v>0</v>
      </c>
      <c r="C31" s="1182">
        <f>Efetivo!B28</f>
        <v>0</v>
      </c>
      <c r="D31" s="1182"/>
      <c r="E31" s="1182"/>
      <c r="F31" s="851">
        <f>Efetivo!T28</f>
        <v>0</v>
      </c>
      <c r="G31" s="853">
        <f>Efetivo!AC28</f>
        <v>0</v>
      </c>
      <c r="H31" s="851">
        <f>Efetivo!AK28</f>
        <v>0</v>
      </c>
      <c r="I31" s="853">
        <f>Efetivo!AO28</f>
        <v>0</v>
      </c>
      <c r="J31" s="1187">
        <f>SUM(Efetivo!AE28+Efetivo!AW28+Efetivo!AQ28+Efetivo!AY28+Efetivo!BL28)</f>
        <v>0</v>
      </c>
      <c r="K31" s="1188"/>
      <c r="L31" s="851">
        <f>Consolidado_Geral!L31</f>
        <v>0</v>
      </c>
      <c r="M31" s="341"/>
    </row>
    <row r="32" spans="1:13">
      <c r="A32" s="153"/>
      <c r="B32" s="850">
        <f>Benefícios!F29</f>
        <v>0</v>
      </c>
      <c r="C32" s="1182">
        <f>Efetivo!B29</f>
        <v>0</v>
      </c>
      <c r="D32" s="1182"/>
      <c r="E32" s="1182"/>
      <c r="F32" s="851">
        <f>Efetivo!T29</f>
        <v>0</v>
      </c>
      <c r="G32" s="853">
        <f>Efetivo!AC29</f>
        <v>0</v>
      </c>
      <c r="H32" s="851">
        <f>Efetivo!AK29</f>
        <v>0</v>
      </c>
      <c r="I32" s="853">
        <f>Efetivo!AO29</f>
        <v>0</v>
      </c>
      <c r="J32" s="1187">
        <f>SUM(Efetivo!AE29+Efetivo!AW29+Efetivo!AQ29+Efetivo!AY29+Efetivo!BL29)</f>
        <v>0</v>
      </c>
      <c r="K32" s="1188"/>
      <c r="L32" s="851">
        <f>Consolidado_Geral!L32</f>
        <v>0</v>
      </c>
      <c r="M32" s="341"/>
    </row>
    <row r="33" spans="1:13">
      <c r="A33" s="153"/>
      <c r="B33" s="850">
        <f>Benefícios!F30</f>
        <v>0</v>
      </c>
      <c r="C33" s="1182">
        <f>Efetivo!B30</f>
        <v>0</v>
      </c>
      <c r="D33" s="1182"/>
      <c r="E33" s="1182"/>
      <c r="F33" s="851">
        <f>Efetivo!T30</f>
        <v>0</v>
      </c>
      <c r="G33" s="853">
        <f>Efetivo!AC30</f>
        <v>0</v>
      </c>
      <c r="H33" s="851">
        <f>Efetivo!AK30</f>
        <v>0</v>
      </c>
      <c r="I33" s="853">
        <f>Efetivo!AO30</f>
        <v>0</v>
      </c>
      <c r="J33" s="1187">
        <f>SUM(Efetivo!AE30+Efetivo!AW30+Efetivo!AQ30+Efetivo!AY30+Efetivo!BL30)</f>
        <v>0</v>
      </c>
      <c r="K33" s="1188"/>
      <c r="L33" s="851">
        <f>Consolidado_Geral!L33</f>
        <v>0</v>
      </c>
      <c r="M33" s="341"/>
    </row>
    <row r="34" spans="1:13">
      <c r="A34" s="153"/>
      <c r="B34" s="850">
        <f>Benefícios!F31</f>
        <v>0</v>
      </c>
      <c r="C34" s="1182">
        <f>Efetivo!B31</f>
        <v>0</v>
      </c>
      <c r="D34" s="1182"/>
      <c r="E34" s="1182"/>
      <c r="F34" s="851">
        <f>Efetivo!T31</f>
        <v>0</v>
      </c>
      <c r="G34" s="853">
        <f>Efetivo!AC31</f>
        <v>0</v>
      </c>
      <c r="H34" s="851">
        <f>Efetivo!AK31</f>
        <v>0</v>
      </c>
      <c r="I34" s="853">
        <f>Efetivo!AO31</f>
        <v>0</v>
      </c>
      <c r="J34" s="1187">
        <f>SUM(Efetivo!AE31+Efetivo!AW31+Efetivo!AQ31+Efetivo!AY31+Efetivo!BL31)</f>
        <v>0</v>
      </c>
      <c r="K34" s="1188"/>
      <c r="L34" s="851">
        <f>Consolidado_Geral!L34</f>
        <v>0</v>
      </c>
      <c r="M34" s="341"/>
    </row>
    <row r="35" spans="1:13">
      <c r="A35" s="153"/>
      <c r="B35" s="850">
        <f>Benefícios!F32</f>
        <v>0</v>
      </c>
      <c r="C35" s="1182">
        <f>Efetivo!B32</f>
        <v>0</v>
      </c>
      <c r="D35" s="1182"/>
      <c r="E35" s="1182"/>
      <c r="F35" s="851">
        <f>Efetivo!T32</f>
        <v>0</v>
      </c>
      <c r="G35" s="853">
        <f>Efetivo!AC32</f>
        <v>0</v>
      </c>
      <c r="H35" s="851">
        <f>Efetivo!AK32</f>
        <v>0</v>
      </c>
      <c r="I35" s="853">
        <f>Efetivo!AO32</f>
        <v>0</v>
      </c>
      <c r="J35" s="1187">
        <f>SUM(Efetivo!AE32+Efetivo!AW32+Efetivo!AQ32+Efetivo!AY32+Efetivo!BL32)</f>
        <v>0</v>
      </c>
      <c r="K35" s="1188"/>
      <c r="L35" s="851">
        <f>Consolidado_Geral!L35</f>
        <v>0</v>
      </c>
      <c r="M35" s="341"/>
    </row>
    <row r="36" spans="1:13">
      <c r="A36" s="153"/>
      <c r="B36" s="850">
        <f>Benefícios!F33</f>
        <v>0</v>
      </c>
      <c r="C36" s="1182">
        <f>Efetivo!B33</f>
        <v>0</v>
      </c>
      <c r="D36" s="1182"/>
      <c r="E36" s="1182"/>
      <c r="F36" s="851">
        <f>Efetivo!T33</f>
        <v>0</v>
      </c>
      <c r="G36" s="853">
        <f>Efetivo!AC33</f>
        <v>0</v>
      </c>
      <c r="H36" s="851">
        <f>Efetivo!AK33</f>
        <v>0</v>
      </c>
      <c r="I36" s="853">
        <f>Efetivo!AO33</f>
        <v>0</v>
      </c>
      <c r="J36" s="1187">
        <f>SUM(Efetivo!AE33+Efetivo!AW33+Efetivo!AQ33+Efetivo!AY33+Efetivo!BL33)</f>
        <v>0</v>
      </c>
      <c r="K36" s="1188"/>
      <c r="L36" s="851">
        <f>Consolidado_Geral!L36</f>
        <v>0</v>
      </c>
      <c r="M36" s="341"/>
    </row>
    <row r="37" spans="1:13">
      <c r="A37" s="153"/>
      <c r="B37" s="850">
        <f>Benefícios!F34</f>
        <v>0</v>
      </c>
      <c r="C37" s="1182">
        <f>Efetivo!B34</f>
        <v>0</v>
      </c>
      <c r="D37" s="1182"/>
      <c r="E37" s="1182"/>
      <c r="F37" s="851">
        <f>Efetivo!T34</f>
        <v>0</v>
      </c>
      <c r="G37" s="853">
        <f>Efetivo!AC34</f>
        <v>0</v>
      </c>
      <c r="H37" s="851">
        <f>Efetivo!AK34</f>
        <v>0</v>
      </c>
      <c r="I37" s="853">
        <f>Efetivo!AO34</f>
        <v>0</v>
      </c>
      <c r="J37" s="1187">
        <f>SUM(Efetivo!AE34+Efetivo!AW34+Efetivo!AQ34+Efetivo!AY34+Efetivo!BL34)</f>
        <v>0</v>
      </c>
      <c r="K37" s="1188"/>
      <c r="L37" s="851">
        <f>Consolidado_Geral!L37</f>
        <v>0</v>
      </c>
      <c r="M37" s="341"/>
    </row>
    <row r="38" spans="1:13">
      <c r="A38" s="153"/>
      <c r="B38" s="850">
        <f>Benefícios!F35</f>
        <v>0</v>
      </c>
      <c r="C38" s="1182">
        <f>Efetivo!B35</f>
        <v>0</v>
      </c>
      <c r="D38" s="1182"/>
      <c r="E38" s="1182"/>
      <c r="F38" s="851">
        <f>Efetivo!T35</f>
        <v>0</v>
      </c>
      <c r="G38" s="853">
        <f>Efetivo!AC35</f>
        <v>0</v>
      </c>
      <c r="H38" s="851">
        <f>Efetivo!AK35</f>
        <v>0</v>
      </c>
      <c r="I38" s="853">
        <f>Efetivo!AO35</f>
        <v>0</v>
      </c>
      <c r="J38" s="1187">
        <f>SUM(Efetivo!AE35+Efetivo!AW35+Efetivo!AQ35+Efetivo!AY35+Efetivo!BL35)</f>
        <v>0</v>
      </c>
      <c r="K38" s="1188"/>
      <c r="L38" s="851">
        <f>Consolidado_Geral!L38</f>
        <v>0</v>
      </c>
      <c r="M38" s="341"/>
    </row>
    <row r="39" spans="1:13">
      <c r="A39" s="153"/>
      <c r="B39" s="850">
        <f>Benefícios!F36</f>
        <v>0</v>
      </c>
      <c r="C39" s="1182">
        <f>Efetivo!B36</f>
        <v>0</v>
      </c>
      <c r="D39" s="1182"/>
      <c r="E39" s="1182"/>
      <c r="F39" s="851">
        <f>Efetivo!T36</f>
        <v>0</v>
      </c>
      <c r="G39" s="853">
        <f>Efetivo!AC36</f>
        <v>0</v>
      </c>
      <c r="H39" s="851">
        <f>Efetivo!AK36</f>
        <v>0</v>
      </c>
      <c r="I39" s="853">
        <f>Efetivo!AO36</f>
        <v>0</v>
      </c>
      <c r="J39" s="1187">
        <f>SUM(Efetivo!AE36+Efetivo!AW36+Efetivo!AQ36+Efetivo!AY36+Efetivo!BL36)</f>
        <v>0</v>
      </c>
      <c r="K39" s="1188"/>
      <c r="L39" s="851">
        <f>Consolidado_Geral!L39</f>
        <v>0</v>
      </c>
      <c r="M39" s="341"/>
    </row>
    <row r="40" spans="1:13">
      <c r="A40" s="153"/>
      <c r="B40" s="850">
        <f>Benefícios!F37</f>
        <v>0</v>
      </c>
      <c r="C40" s="1182">
        <f>Efetivo!B37</f>
        <v>0</v>
      </c>
      <c r="D40" s="1182"/>
      <c r="E40" s="1182"/>
      <c r="F40" s="851">
        <f>Efetivo!T37</f>
        <v>0</v>
      </c>
      <c r="G40" s="853">
        <f>Efetivo!AC37</f>
        <v>0</v>
      </c>
      <c r="H40" s="851">
        <f>Efetivo!AK37</f>
        <v>0</v>
      </c>
      <c r="I40" s="853">
        <f>Efetivo!AO37</f>
        <v>0</v>
      </c>
      <c r="J40" s="1187">
        <f>SUM(Efetivo!AE37+Efetivo!AW37+Efetivo!AQ37+Efetivo!AY37+Efetivo!BL37)</f>
        <v>0</v>
      </c>
      <c r="K40" s="1188"/>
      <c r="L40" s="851">
        <f>Consolidado_Geral!L40</f>
        <v>0</v>
      </c>
      <c r="M40" s="341"/>
    </row>
    <row r="41" spans="1:13">
      <c r="A41" s="153"/>
      <c r="B41" s="850">
        <f>Benefícios!F38</f>
        <v>0</v>
      </c>
      <c r="C41" s="1182">
        <f>Efetivo!B38</f>
        <v>0</v>
      </c>
      <c r="D41" s="1182"/>
      <c r="E41" s="1182"/>
      <c r="F41" s="851">
        <f>Efetivo!T38</f>
        <v>0</v>
      </c>
      <c r="G41" s="853">
        <f>Efetivo!AC38</f>
        <v>0</v>
      </c>
      <c r="H41" s="851">
        <f>Efetivo!AK38</f>
        <v>0</v>
      </c>
      <c r="I41" s="853">
        <f>Efetivo!AO38</f>
        <v>0</v>
      </c>
      <c r="J41" s="1187">
        <f>SUM(Efetivo!AE38+Efetivo!AW38+Efetivo!AQ38+Efetivo!AY38+Efetivo!BL38)</f>
        <v>0</v>
      </c>
      <c r="K41" s="1188"/>
      <c r="L41" s="851">
        <f>Consolidado_Geral!L41</f>
        <v>0</v>
      </c>
      <c r="M41" s="341"/>
    </row>
    <row r="42" spans="1:13">
      <c r="A42" s="153"/>
      <c r="B42" s="850">
        <f>Benefícios!F39</f>
        <v>0</v>
      </c>
      <c r="C42" s="1182">
        <f>Efetivo!B39</f>
        <v>0</v>
      </c>
      <c r="D42" s="1182"/>
      <c r="E42" s="1182"/>
      <c r="F42" s="851">
        <f>Efetivo!T39</f>
        <v>0</v>
      </c>
      <c r="G42" s="853">
        <f>Efetivo!AC39</f>
        <v>0</v>
      </c>
      <c r="H42" s="851">
        <f>Efetivo!AK39</f>
        <v>0</v>
      </c>
      <c r="I42" s="853">
        <f>Efetivo!AO39</f>
        <v>0</v>
      </c>
      <c r="J42" s="1187">
        <f>SUM(Efetivo!AE39+Efetivo!AW39+Efetivo!AQ39+Efetivo!AY39+Efetivo!BL39)</f>
        <v>0</v>
      </c>
      <c r="K42" s="1188"/>
      <c r="L42" s="851">
        <f>Consolidado_Geral!L42</f>
        <v>0</v>
      </c>
      <c r="M42" s="341"/>
    </row>
    <row r="43" spans="1:13" ht="13.5" customHeight="1">
      <c r="A43" s="153"/>
      <c r="B43" s="850">
        <f>Benefícios!F40</f>
        <v>0</v>
      </c>
      <c r="C43" s="1182">
        <f>Efetivo!B40</f>
        <v>0</v>
      </c>
      <c r="D43" s="1182"/>
      <c r="E43" s="1182"/>
      <c r="F43" s="851">
        <f>Efetivo!T40</f>
        <v>0</v>
      </c>
      <c r="G43" s="853">
        <f>Efetivo!AC40</f>
        <v>0</v>
      </c>
      <c r="H43" s="851">
        <f>Efetivo!AK40</f>
        <v>0</v>
      </c>
      <c r="I43" s="853">
        <f>Efetivo!AO40</f>
        <v>0</v>
      </c>
      <c r="J43" s="1187">
        <f>SUM(Efetivo!AE40+Efetivo!AW40+Efetivo!AQ40+Efetivo!AY40+Efetivo!BL40)</f>
        <v>0</v>
      </c>
      <c r="K43" s="1188"/>
      <c r="L43" s="851">
        <f>Consolidado_Geral!L43</f>
        <v>0</v>
      </c>
      <c r="M43" s="341"/>
    </row>
    <row r="44" spans="1:13">
      <c r="A44" s="153"/>
      <c r="B44" s="850">
        <f>Benefícios!F41</f>
        <v>0</v>
      </c>
      <c r="C44" s="1182">
        <f>Efetivo!B41</f>
        <v>0</v>
      </c>
      <c r="D44" s="1182"/>
      <c r="E44" s="1182"/>
      <c r="F44" s="851">
        <f>Efetivo!T41</f>
        <v>0</v>
      </c>
      <c r="G44" s="853">
        <f>Efetivo!AC41</f>
        <v>0</v>
      </c>
      <c r="H44" s="851">
        <f>Efetivo!AK41</f>
        <v>0</v>
      </c>
      <c r="I44" s="853">
        <f>Efetivo!AO41</f>
        <v>0</v>
      </c>
      <c r="J44" s="1187">
        <f>SUM(Efetivo!AE41+Efetivo!AW41+Efetivo!AQ41+Efetivo!AY41+Efetivo!BL41)</f>
        <v>0</v>
      </c>
      <c r="K44" s="1188"/>
      <c r="L44" s="851">
        <f>Consolidado_Geral!L44</f>
        <v>0</v>
      </c>
      <c r="M44" s="341"/>
    </row>
    <row r="45" spans="1:13">
      <c r="A45" s="153"/>
      <c r="B45" s="850">
        <f>Benefícios!F42</f>
        <v>0</v>
      </c>
      <c r="C45" s="1182">
        <f>Efetivo!B42</f>
        <v>0</v>
      </c>
      <c r="D45" s="1182"/>
      <c r="E45" s="1182"/>
      <c r="F45" s="851">
        <f>Efetivo!T42</f>
        <v>0</v>
      </c>
      <c r="G45" s="853">
        <f>Efetivo!AC42</f>
        <v>0</v>
      </c>
      <c r="H45" s="851">
        <f>Efetivo!AK42</f>
        <v>0</v>
      </c>
      <c r="I45" s="853">
        <f>Efetivo!AO42</f>
        <v>0</v>
      </c>
      <c r="J45" s="1187">
        <f>SUM(Efetivo!AE42+Efetivo!AW42+Efetivo!AQ42+Efetivo!AY42+Efetivo!BL42)</f>
        <v>0</v>
      </c>
      <c r="K45" s="1188"/>
      <c r="L45" s="851">
        <f>Consolidado_Geral!L45</f>
        <v>0</v>
      </c>
      <c r="M45" s="341"/>
    </row>
    <row r="46" spans="1:13">
      <c r="A46" s="153"/>
      <c r="B46" s="850">
        <f>Benefícios!F43</f>
        <v>0</v>
      </c>
      <c r="C46" s="1182">
        <f>Efetivo!B43</f>
        <v>0</v>
      </c>
      <c r="D46" s="1182"/>
      <c r="E46" s="1182"/>
      <c r="F46" s="851">
        <f>Efetivo!T43</f>
        <v>0</v>
      </c>
      <c r="G46" s="853">
        <f>Efetivo!AC43</f>
        <v>0</v>
      </c>
      <c r="H46" s="851">
        <f>Efetivo!AK43</f>
        <v>0</v>
      </c>
      <c r="I46" s="853">
        <f>Efetivo!AO43</f>
        <v>0</v>
      </c>
      <c r="J46" s="1187">
        <f>SUM(Efetivo!AE43+Efetivo!AW43+Efetivo!AQ43+Efetivo!AY43+Efetivo!BL43)</f>
        <v>0</v>
      </c>
      <c r="K46" s="1188"/>
      <c r="L46" s="851">
        <f>Consolidado_Geral!L46</f>
        <v>0</v>
      </c>
      <c r="M46" s="341"/>
    </row>
    <row r="47" spans="1:13">
      <c r="A47" s="153"/>
      <c r="B47" s="850">
        <f>Benefícios!F44</f>
        <v>0</v>
      </c>
      <c r="C47" s="1182">
        <f>Efetivo!B44</f>
        <v>0</v>
      </c>
      <c r="D47" s="1182"/>
      <c r="E47" s="1182"/>
      <c r="F47" s="851">
        <f>Efetivo!T44</f>
        <v>0</v>
      </c>
      <c r="G47" s="853">
        <f>Efetivo!AC44</f>
        <v>0</v>
      </c>
      <c r="H47" s="851">
        <f>Efetivo!AK44</f>
        <v>0</v>
      </c>
      <c r="I47" s="853">
        <f>Efetivo!AO44</f>
        <v>0</v>
      </c>
      <c r="J47" s="1187">
        <f>SUM(Efetivo!AE44+Efetivo!AW44+Efetivo!AQ44+Efetivo!AY44+Efetivo!BL44)</f>
        <v>0</v>
      </c>
      <c r="K47" s="1188"/>
      <c r="L47" s="851">
        <f>Consolidado_Geral!L47</f>
        <v>0</v>
      </c>
      <c r="M47" s="341"/>
    </row>
    <row r="48" spans="1:13">
      <c r="A48" s="153"/>
      <c r="B48" s="850">
        <f>Benefícios!F45</f>
        <v>0</v>
      </c>
      <c r="C48" s="1182">
        <f>Efetivo!B45</f>
        <v>0</v>
      </c>
      <c r="D48" s="1182"/>
      <c r="E48" s="1182"/>
      <c r="F48" s="851">
        <f>Efetivo!T45</f>
        <v>0</v>
      </c>
      <c r="G48" s="853">
        <f>Efetivo!AC45</f>
        <v>0</v>
      </c>
      <c r="H48" s="851">
        <f>Efetivo!AK45</f>
        <v>0</v>
      </c>
      <c r="I48" s="853">
        <f>Efetivo!AO45</f>
        <v>0</v>
      </c>
      <c r="J48" s="1187">
        <f>SUM(Efetivo!AE45+Efetivo!AW45+Efetivo!AQ45+Efetivo!AY45+Efetivo!BL45)</f>
        <v>0</v>
      </c>
      <c r="K48" s="1188"/>
      <c r="L48" s="851">
        <f>Consolidado_Geral!L48</f>
        <v>0</v>
      </c>
      <c r="M48" s="341"/>
    </row>
    <row r="49" spans="1:13">
      <c r="A49" s="153"/>
      <c r="B49" s="850">
        <f>Benefícios!F46</f>
        <v>0</v>
      </c>
      <c r="C49" s="1182">
        <f>Efetivo!B46</f>
        <v>0</v>
      </c>
      <c r="D49" s="1182"/>
      <c r="E49" s="1182"/>
      <c r="F49" s="851">
        <f>Efetivo!T46</f>
        <v>0</v>
      </c>
      <c r="G49" s="853">
        <f>Efetivo!AC46</f>
        <v>0</v>
      </c>
      <c r="H49" s="851">
        <f>Efetivo!AK46</f>
        <v>0</v>
      </c>
      <c r="I49" s="853">
        <f>Efetivo!AO46</f>
        <v>0</v>
      </c>
      <c r="J49" s="1187">
        <f>SUM(Efetivo!AE46+Efetivo!AW46+Efetivo!AQ46+Efetivo!AY46+Efetivo!BL46)</f>
        <v>0</v>
      </c>
      <c r="K49" s="1188"/>
      <c r="L49" s="851">
        <f>Consolidado_Geral!L49</f>
        <v>0</v>
      </c>
      <c r="M49" s="341"/>
    </row>
    <row r="50" spans="1:13">
      <c r="A50" s="153"/>
      <c r="B50" s="850">
        <f>Benefícios!F47</f>
        <v>0</v>
      </c>
      <c r="C50" s="1182">
        <f>Efetivo!B47</f>
        <v>0</v>
      </c>
      <c r="D50" s="1182"/>
      <c r="E50" s="1182"/>
      <c r="F50" s="851">
        <f>Efetivo!T47</f>
        <v>0</v>
      </c>
      <c r="G50" s="853">
        <f>Efetivo!AC47</f>
        <v>0</v>
      </c>
      <c r="H50" s="851">
        <f>Efetivo!AK47</f>
        <v>0</v>
      </c>
      <c r="I50" s="853">
        <f>Efetivo!AO47</f>
        <v>0</v>
      </c>
      <c r="J50" s="1187">
        <f>SUM(Efetivo!AE47+Efetivo!AW47+Efetivo!AQ47+Efetivo!AY47+Efetivo!BL47)</f>
        <v>0</v>
      </c>
      <c r="K50" s="1188"/>
      <c r="L50" s="851">
        <f>Consolidado_Geral!L50</f>
        <v>0</v>
      </c>
      <c r="M50" s="341"/>
    </row>
    <row r="51" spans="1:13">
      <c r="A51" s="153"/>
      <c r="B51" s="850">
        <f>Benefícios!F48</f>
        <v>0</v>
      </c>
      <c r="C51" s="1182">
        <f>Efetivo!B48</f>
        <v>0</v>
      </c>
      <c r="D51" s="1182"/>
      <c r="E51" s="1182"/>
      <c r="F51" s="851">
        <f>Efetivo!T48</f>
        <v>0</v>
      </c>
      <c r="G51" s="853">
        <f>Efetivo!AC48</f>
        <v>0</v>
      </c>
      <c r="H51" s="851">
        <f>Efetivo!AK48</f>
        <v>0</v>
      </c>
      <c r="I51" s="853">
        <f>Efetivo!AO48</f>
        <v>0</v>
      </c>
      <c r="J51" s="1187">
        <f>SUM(Efetivo!AE48+Efetivo!AW48+Efetivo!AQ48+Efetivo!AY48+Efetivo!BL48)</f>
        <v>0</v>
      </c>
      <c r="K51" s="1188"/>
      <c r="L51" s="851">
        <f>Consolidado_Geral!L51</f>
        <v>0</v>
      </c>
      <c r="M51" s="341"/>
    </row>
    <row r="52" spans="1:13">
      <c r="A52" s="153"/>
      <c r="B52" s="850">
        <f>Benefícios!F49</f>
        <v>0</v>
      </c>
      <c r="C52" s="1182">
        <f>Efetivo!B49</f>
        <v>0</v>
      </c>
      <c r="D52" s="1182"/>
      <c r="E52" s="1182"/>
      <c r="F52" s="851">
        <f>Efetivo!T49</f>
        <v>0</v>
      </c>
      <c r="G52" s="853">
        <f>Efetivo!AC49</f>
        <v>0</v>
      </c>
      <c r="H52" s="851">
        <f>Efetivo!AK49</f>
        <v>0</v>
      </c>
      <c r="I52" s="853">
        <f>Efetivo!AO49</f>
        <v>0</v>
      </c>
      <c r="J52" s="1187">
        <f>SUM(Efetivo!AE49+Efetivo!AW49+Efetivo!AQ49+Efetivo!AY49+Efetivo!BL49)</f>
        <v>0</v>
      </c>
      <c r="K52" s="1188"/>
      <c r="L52" s="851">
        <f>Consolidado_Geral!L52</f>
        <v>0</v>
      </c>
      <c r="M52" s="341"/>
    </row>
    <row r="53" spans="1:13">
      <c r="A53" s="153"/>
      <c r="B53" s="850">
        <f>Benefícios!F50</f>
        <v>0</v>
      </c>
      <c r="C53" s="1182">
        <f>Efetivo!B50</f>
        <v>0</v>
      </c>
      <c r="D53" s="1182"/>
      <c r="E53" s="1182"/>
      <c r="F53" s="851">
        <f>Efetivo!T50</f>
        <v>0</v>
      </c>
      <c r="G53" s="853">
        <f>Efetivo!AC50</f>
        <v>0</v>
      </c>
      <c r="H53" s="851">
        <f>Efetivo!AK50</f>
        <v>0</v>
      </c>
      <c r="I53" s="853">
        <f>Efetivo!AO50</f>
        <v>0</v>
      </c>
      <c r="J53" s="1187">
        <f>SUM(Efetivo!AE50+Efetivo!AW50+Efetivo!AQ50+Efetivo!AY50+Efetivo!BL50)</f>
        <v>0</v>
      </c>
      <c r="K53" s="1188"/>
      <c r="L53" s="851">
        <f>Consolidado_Geral!L53</f>
        <v>0</v>
      </c>
      <c r="M53" s="341"/>
    </row>
    <row r="54" spans="1:13">
      <c r="A54" s="153"/>
      <c r="B54" s="850">
        <f>Benefícios!F51</f>
        <v>0</v>
      </c>
      <c r="C54" s="1182">
        <f>Efetivo!B51</f>
        <v>0</v>
      </c>
      <c r="D54" s="1182"/>
      <c r="E54" s="1182"/>
      <c r="F54" s="851">
        <f>Efetivo!T51</f>
        <v>0</v>
      </c>
      <c r="G54" s="853">
        <f>Efetivo!AC51</f>
        <v>0</v>
      </c>
      <c r="H54" s="851">
        <f>Efetivo!AK51</f>
        <v>0</v>
      </c>
      <c r="I54" s="853">
        <f>Efetivo!AO51</f>
        <v>0</v>
      </c>
      <c r="J54" s="1187">
        <f>SUM(Efetivo!AE51+Efetivo!AW51+Efetivo!AQ51+Efetivo!AY51+Efetivo!BL51)</f>
        <v>0</v>
      </c>
      <c r="K54" s="1188"/>
      <c r="L54" s="851">
        <f>Consolidado_Geral!L54</f>
        <v>0</v>
      </c>
      <c r="M54" s="341"/>
    </row>
    <row r="55" spans="1:13">
      <c r="A55" s="153"/>
      <c r="B55" s="850">
        <f>Benefícios!F52</f>
        <v>0</v>
      </c>
      <c r="C55" s="1182">
        <f>Efetivo!B52</f>
        <v>0</v>
      </c>
      <c r="D55" s="1182"/>
      <c r="E55" s="1182"/>
      <c r="F55" s="851">
        <f>Efetivo!T52</f>
        <v>0</v>
      </c>
      <c r="G55" s="853">
        <f>Efetivo!AC52</f>
        <v>0</v>
      </c>
      <c r="H55" s="851">
        <f>Efetivo!AK52</f>
        <v>0</v>
      </c>
      <c r="I55" s="853">
        <f>Efetivo!AO52</f>
        <v>0</v>
      </c>
      <c r="J55" s="1187">
        <f>SUM(Efetivo!AE52+Efetivo!AW52+Efetivo!AQ52+Efetivo!AY52+Efetivo!BL52)</f>
        <v>0</v>
      </c>
      <c r="K55" s="1188"/>
      <c r="L55" s="851">
        <f>Consolidado_Geral!L55</f>
        <v>0</v>
      </c>
      <c r="M55" s="341"/>
    </row>
    <row r="56" spans="1:13">
      <c r="A56" s="153"/>
      <c r="B56" s="850">
        <f>Benefícios!F53</f>
        <v>0</v>
      </c>
      <c r="C56" s="1182">
        <f>Efetivo!B53</f>
        <v>0</v>
      </c>
      <c r="D56" s="1182"/>
      <c r="E56" s="1182"/>
      <c r="F56" s="851">
        <f>Efetivo!T53</f>
        <v>0</v>
      </c>
      <c r="G56" s="853">
        <f>Efetivo!AC53</f>
        <v>0</v>
      </c>
      <c r="H56" s="851">
        <f>Efetivo!AK53</f>
        <v>0</v>
      </c>
      <c r="I56" s="853">
        <f>Efetivo!AO53</f>
        <v>0</v>
      </c>
      <c r="J56" s="1187">
        <f>SUM(Efetivo!AE53+Efetivo!AW53+Efetivo!AQ53+Efetivo!AY53+Efetivo!BL53)</f>
        <v>0</v>
      </c>
      <c r="K56" s="1188"/>
      <c r="L56" s="851">
        <f>Consolidado_Geral!L56</f>
        <v>0</v>
      </c>
      <c r="M56" s="341"/>
    </row>
    <row r="57" spans="1:13">
      <c r="A57" s="153"/>
      <c r="B57" s="850">
        <f>Benefícios!F54</f>
        <v>0</v>
      </c>
      <c r="C57" s="1182">
        <f>Efetivo!B54</f>
        <v>0</v>
      </c>
      <c r="D57" s="1182"/>
      <c r="E57" s="1182"/>
      <c r="F57" s="851">
        <f>Efetivo!T54</f>
        <v>0</v>
      </c>
      <c r="G57" s="853">
        <f>Efetivo!AC54</f>
        <v>0</v>
      </c>
      <c r="H57" s="851">
        <f>Efetivo!AK54</f>
        <v>0</v>
      </c>
      <c r="I57" s="853">
        <f>Efetivo!AO54</f>
        <v>0</v>
      </c>
      <c r="J57" s="1187">
        <f>SUM(Efetivo!AE54+Efetivo!AW54+Efetivo!AQ54+Efetivo!AY54+Efetivo!BL54)</f>
        <v>0</v>
      </c>
      <c r="K57" s="1188"/>
      <c r="L57" s="851">
        <f>Consolidado_Geral!L57</f>
        <v>0</v>
      </c>
      <c r="M57" s="341"/>
    </row>
    <row r="58" spans="1:13">
      <c r="A58" s="153"/>
      <c r="B58" s="850">
        <f>Benefícios!F55</f>
        <v>0</v>
      </c>
      <c r="C58" s="1182">
        <f>Efetivo!B55</f>
        <v>0</v>
      </c>
      <c r="D58" s="1182"/>
      <c r="E58" s="1182"/>
      <c r="F58" s="851">
        <f>Efetivo!T55</f>
        <v>0</v>
      </c>
      <c r="G58" s="853">
        <f>Efetivo!AC55</f>
        <v>0</v>
      </c>
      <c r="H58" s="851">
        <f>Efetivo!AK55</f>
        <v>0</v>
      </c>
      <c r="I58" s="853">
        <f>Efetivo!AO55</f>
        <v>0</v>
      </c>
      <c r="J58" s="1187">
        <f>SUM(Efetivo!AE55+Efetivo!AW55+Efetivo!AQ55+Efetivo!AY55+Efetivo!BL55)</f>
        <v>0</v>
      </c>
      <c r="K58" s="1188"/>
      <c r="L58" s="851">
        <f>Consolidado_Geral!L58</f>
        <v>0</v>
      </c>
      <c r="M58" s="341"/>
    </row>
    <row r="59" spans="1:13">
      <c r="A59" s="153"/>
      <c r="B59" s="850">
        <f>Benefícios!F56</f>
        <v>0</v>
      </c>
      <c r="C59" s="1182">
        <f>Efetivo!B56</f>
        <v>0</v>
      </c>
      <c r="D59" s="1182"/>
      <c r="E59" s="1182"/>
      <c r="F59" s="851">
        <f>Efetivo!T56</f>
        <v>0</v>
      </c>
      <c r="G59" s="853">
        <f>Efetivo!AC56</f>
        <v>0</v>
      </c>
      <c r="H59" s="851">
        <f>Efetivo!AK56</f>
        <v>0</v>
      </c>
      <c r="I59" s="853">
        <f>Efetivo!AO56</f>
        <v>0</v>
      </c>
      <c r="J59" s="1187">
        <f>SUM(Efetivo!AE56+Efetivo!AW56+Efetivo!AQ56+Efetivo!AY56+Efetivo!BL56)</f>
        <v>0</v>
      </c>
      <c r="K59" s="1188"/>
      <c r="L59" s="851">
        <f>Consolidado_Geral!L59</f>
        <v>0</v>
      </c>
      <c r="M59" s="341"/>
    </row>
    <row r="60" spans="1:13" ht="5.25" customHeight="1" thickBot="1">
      <c r="A60" s="153"/>
      <c r="B60" s="342"/>
      <c r="C60" s="343"/>
      <c r="D60" s="344"/>
      <c r="E60" s="344"/>
      <c r="F60" s="345"/>
      <c r="G60" s="345"/>
      <c r="H60" s="345"/>
      <c r="I60" s="345"/>
      <c r="J60" s="345"/>
      <c r="K60" s="345"/>
      <c r="L60" s="345"/>
      <c r="M60" s="346"/>
    </row>
    <row r="61" spans="1:13" ht="16.5" customHeight="1" thickBot="1">
      <c r="A61" s="153"/>
      <c r="B61" s="399">
        <f>SUM(B16:B59)</f>
        <v>20</v>
      </c>
      <c r="C61" s="911" t="str">
        <f>IF(B61=0,0,"Postos")</f>
        <v>Postos</v>
      </c>
      <c r="D61" s="910"/>
      <c r="E61" s="911">
        <f>IF(D61=0,0,"Empregados")</f>
        <v>0</v>
      </c>
      <c r="F61" s="400"/>
      <c r="G61" s="911">
        <f>IF(F61=0,0,"Folguistas")</f>
        <v>0</v>
      </c>
      <c r="H61" s="348"/>
      <c r="I61" s="347"/>
      <c r="J61" s="1141" t="s">
        <v>188</v>
      </c>
      <c r="K61" s="1141"/>
      <c r="L61" s="461">
        <f>TRUNC((SUM(L16:L60)),2)</f>
        <v>0</v>
      </c>
      <c r="M61" s="346"/>
    </row>
    <row r="62" spans="1:13" ht="5.25" customHeight="1">
      <c r="A62" s="153"/>
      <c r="B62" s="349"/>
      <c r="C62" s="343"/>
      <c r="D62" s="344"/>
      <c r="E62" s="344"/>
      <c r="F62" s="345"/>
      <c r="G62" s="345"/>
      <c r="H62" s="345"/>
      <c r="I62" s="345"/>
      <c r="J62" s="345"/>
      <c r="K62" s="345"/>
      <c r="L62" s="345"/>
      <c r="M62" s="346"/>
    </row>
    <row r="63" spans="1:13" ht="11.25" customHeight="1">
      <c r="A63" s="153"/>
      <c r="B63" s="349"/>
      <c r="C63" s="1142">
        <f>IF(L63&lt;&gt;0,"Valor com incidência diferenciada de Encargos Sociais:",0)</f>
        <v>0</v>
      </c>
      <c r="D63" s="1143"/>
      <c r="E63" s="1143"/>
      <c r="F63" s="1143"/>
      <c r="G63" s="1143"/>
      <c r="H63" s="1143"/>
      <c r="I63" s="1143"/>
      <c r="J63" s="1143"/>
      <c r="K63" s="1143"/>
      <c r="L63" s="462">
        <f>TRUNC((-Efetivo!BC59),2)</f>
        <v>0</v>
      </c>
      <c r="M63" s="346"/>
    </row>
    <row r="64" spans="1:13" ht="5.25" customHeight="1">
      <c r="A64" s="153"/>
      <c r="B64" s="349"/>
      <c r="C64" s="343"/>
      <c r="D64" s="344"/>
      <c r="E64" s="344"/>
      <c r="F64" s="345"/>
      <c r="G64" s="345"/>
      <c r="H64" s="345"/>
      <c r="I64" s="345"/>
      <c r="J64" s="345"/>
      <c r="K64" s="345"/>
      <c r="L64" s="345"/>
      <c r="M64" s="346"/>
    </row>
    <row r="65" spans="1:16" ht="12" customHeight="1">
      <c r="A65" s="153"/>
      <c r="B65" s="349"/>
      <c r="C65" s="350"/>
      <c r="D65" s="351"/>
      <c r="E65" s="351"/>
      <c r="F65" s="352"/>
      <c r="G65" s="352"/>
      <c r="H65" s="352"/>
      <c r="I65" s="352"/>
      <c r="J65" s="1282" t="s">
        <v>232</v>
      </c>
      <c r="K65" s="1282"/>
      <c r="L65" s="881">
        <f>TRUNC(SUM(L61,L63),2)</f>
        <v>0</v>
      </c>
      <c r="M65" s="346"/>
      <c r="O65" s="1290"/>
      <c r="P65" s="1290"/>
    </row>
    <row r="66" spans="1:16" ht="3.75" customHeight="1" thickBot="1">
      <c r="A66" s="153"/>
      <c r="B66" s="353"/>
      <c r="C66" s="354"/>
      <c r="D66" s="153"/>
      <c r="E66" s="153"/>
      <c r="F66" s="153"/>
      <c r="G66" s="153"/>
      <c r="H66" s="153"/>
      <c r="I66" s="153"/>
      <c r="J66" s="153"/>
      <c r="K66" s="153"/>
      <c r="L66" s="199"/>
      <c r="M66" s="153"/>
    </row>
    <row r="67" spans="1:16" ht="12" customHeight="1" thickBot="1">
      <c r="A67" s="153"/>
      <c r="B67" s="1272" t="s">
        <v>137</v>
      </c>
      <c r="C67" s="1273"/>
      <c r="D67" s="1273"/>
      <c r="E67" s="1273"/>
      <c r="F67" s="1273"/>
      <c r="G67" s="1273"/>
      <c r="H67" s="1273"/>
      <c r="I67" s="1273"/>
      <c r="J67" s="1273"/>
      <c r="K67" s="1273"/>
      <c r="L67" s="1273"/>
      <c r="M67" s="1274"/>
      <c r="O67" s="355"/>
    </row>
    <row r="68" spans="1:16" ht="3.75" customHeight="1">
      <c r="A68" s="153"/>
      <c r="B68" s="338"/>
      <c r="C68" s="218"/>
      <c r="D68" s="178"/>
      <c r="E68" s="178"/>
      <c r="F68" s="178"/>
      <c r="G68" s="178"/>
      <c r="H68" s="356"/>
      <c r="I68" s="356"/>
      <c r="J68" s="356"/>
      <c r="K68" s="356"/>
      <c r="L68" s="357"/>
      <c r="M68" s="153"/>
    </row>
    <row r="69" spans="1:16" ht="18.75" customHeight="1">
      <c r="A69" s="153"/>
      <c r="B69" s="358"/>
      <c r="C69" s="1247" t="s">
        <v>138</v>
      </c>
      <c r="D69" s="1248"/>
      <c r="E69" s="1248"/>
      <c r="F69" s="1248"/>
      <c r="G69" s="403"/>
      <c r="H69" s="1291"/>
      <c r="I69" s="1291"/>
      <c r="J69" s="1291"/>
      <c r="K69" s="1291"/>
      <c r="L69" s="1292"/>
      <c r="M69" s="346"/>
      <c r="O69" s="1160"/>
      <c r="P69" s="1160"/>
    </row>
    <row r="70" spans="1:16" ht="10.5" customHeight="1">
      <c r="A70" s="153"/>
      <c r="B70" s="358"/>
      <c r="C70" s="1195" t="s">
        <v>139</v>
      </c>
      <c r="D70" s="1195"/>
      <c r="E70" s="1195"/>
      <c r="F70" s="1195"/>
      <c r="G70" s="825">
        <f>'E S'!F8</f>
        <v>0.2</v>
      </c>
      <c r="H70" s="1189"/>
      <c r="I70" s="1189"/>
      <c r="J70" s="1189"/>
      <c r="K70" s="1189"/>
      <c r="L70" s="831">
        <f>L65*G70</f>
        <v>0</v>
      </c>
      <c r="M70" s="341"/>
    </row>
    <row r="71" spans="1:16" ht="10.5" customHeight="1">
      <c r="A71" s="153"/>
      <c r="B71" s="358"/>
      <c r="C71" s="1196" t="s">
        <v>140</v>
      </c>
      <c r="D71" s="1196"/>
      <c r="E71" s="1196"/>
      <c r="F71" s="1196"/>
      <c r="G71" s="825">
        <f>IF($G$134&gt;0,0,'E S'!F9)</f>
        <v>1.4999999999999999E-2</v>
      </c>
      <c r="H71" s="1189"/>
      <c r="I71" s="1189"/>
      <c r="J71" s="1189"/>
      <c r="K71" s="1189"/>
      <c r="L71" s="832">
        <f>L65*G71</f>
        <v>0</v>
      </c>
      <c r="M71" s="341"/>
    </row>
    <row r="72" spans="1:16" ht="10.5" customHeight="1">
      <c r="A72" s="153"/>
      <c r="B72" s="358"/>
      <c r="C72" s="1196" t="s">
        <v>141</v>
      </c>
      <c r="D72" s="1196"/>
      <c r="E72" s="1196"/>
      <c r="F72" s="1196"/>
      <c r="G72" s="825">
        <f>IF($G$134&gt;0,0,'E S'!F10)</f>
        <v>0.01</v>
      </c>
      <c r="H72" s="1189"/>
      <c r="I72" s="1189"/>
      <c r="J72" s="1189"/>
      <c r="K72" s="1189"/>
      <c r="L72" s="832">
        <f>L65*G72</f>
        <v>0</v>
      </c>
      <c r="M72" s="341"/>
    </row>
    <row r="73" spans="1:16" ht="10.5" customHeight="1">
      <c r="A73" s="153"/>
      <c r="B73" s="358"/>
      <c r="C73" s="1196" t="s">
        <v>142</v>
      </c>
      <c r="D73" s="1196"/>
      <c r="E73" s="1196"/>
      <c r="F73" s="1196"/>
      <c r="G73" s="825">
        <f>IF($G$134&gt;0,0,'E S'!F11)</f>
        <v>2E-3</v>
      </c>
      <c r="H73" s="1189"/>
      <c r="I73" s="1189"/>
      <c r="J73" s="1189"/>
      <c r="K73" s="1189"/>
      <c r="L73" s="832">
        <f>L65*G73</f>
        <v>0</v>
      </c>
      <c r="M73" s="341"/>
    </row>
    <row r="74" spans="1:16" ht="10.5" customHeight="1">
      <c r="A74" s="153"/>
      <c r="B74" s="358"/>
      <c r="C74" s="1196" t="s">
        <v>143</v>
      </c>
      <c r="D74" s="1196"/>
      <c r="E74" s="1196"/>
      <c r="F74" s="1196"/>
      <c r="G74" s="825">
        <f>IF($G$134&gt;0,0,'E S'!F12)</f>
        <v>2.5000000000000001E-2</v>
      </c>
      <c r="H74" s="1189"/>
      <c r="I74" s="1189"/>
      <c r="J74" s="1189"/>
      <c r="K74" s="1189"/>
      <c r="L74" s="832">
        <f>L65*G74</f>
        <v>0</v>
      </c>
      <c r="M74" s="341"/>
    </row>
    <row r="75" spans="1:16" ht="10.5" customHeight="1">
      <c r="A75" s="153"/>
      <c r="B75" s="358"/>
      <c r="C75" s="1196" t="s">
        <v>144</v>
      </c>
      <c r="D75" s="1196"/>
      <c r="E75" s="1196"/>
      <c r="F75" s="1196"/>
      <c r="G75" s="825">
        <f>'E S'!F13</f>
        <v>0.08</v>
      </c>
      <c r="H75" s="1189"/>
      <c r="I75" s="1189"/>
      <c r="J75" s="1189"/>
      <c r="K75" s="1189"/>
      <c r="L75" s="832">
        <f>L65*G75</f>
        <v>0</v>
      </c>
      <c r="M75" s="341"/>
    </row>
    <row r="76" spans="1:16" ht="10.5" customHeight="1">
      <c r="A76" s="153"/>
      <c r="B76" s="358"/>
      <c r="C76" s="1196" t="s">
        <v>145</v>
      </c>
      <c r="D76" s="1196"/>
      <c r="E76" s="1196"/>
      <c r="F76" s="1196"/>
      <c r="G76" s="825">
        <f>IF('E S'!G14&gt;6%,0%,'E S'!G14)</f>
        <v>0.03</v>
      </c>
      <c r="H76" s="1189"/>
      <c r="I76" s="1189"/>
      <c r="J76" s="1189"/>
      <c r="K76" s="1189"/>
      <c r="L76" s="832">
        <f>L65*G76</f>
        <v>0</v>
      </c>
      <c r="M76" s="341"/>
    </row>
    <row r="77" spans="1:16" ht="10.5" customHeight="1">
      <c r="A77" s="153"/>
      <c r="B77" s="358"/>
      <c r="C77" s="1196" t="s">
        <v>146</v>
      </c>
      <c r="D77" s="1196"/>
      <c r="E77" s="1196"/>
      <c r="F77" s="1196"/>
      <c r="G77" s="825">
        <f>IF($G$134&gt;0,0,'E S'!F16)</f>
        <v>6.0000000000000001E-3</v>
      </c>
      <c r="H77" s="1189"/>
      <c r="I77" s="1189"/>
      <c r="J77" s="1189"/>
      <c r="K77" s="1189"/>
      <c r="L77" s="832">
        <f>L$65*G77</f>
        <v>0</v>
      </c>
      <c r="M77" s="341"/>
    </row>
    <row r="78" spans="1:16" ht="11.25" customHeight="1">
      <c r="A78" s="153"/>
      <c r="B78" s="358"/>
      <c r="C78" s="1246" t="s">
        <v>98</v>
      </c>
      <c r="D78" s="1246"/>
      <c r="E78" s="1246"/>
      <c r="F78" s="1246"/>
      <c r="G78" s="826">
        <f>SUM(G70:G77)</f>
        <v>0.3680000000000001</v>
      </c>
      <c r="H78" s="1189"/>
      <c r="I78" s="1189"/>
      <c r="J78" s="1189"/>
      <c r="K78" s="1189"/>
      <c r="L78" s="833">
        <f>TRUNC((SUM(L70:L77)),2)</f>
        <v>0</v>
      </c>
      <c r="M78" s="341"/>
    </row>
    <row r="79" spans="1:16" ht="18.75" customHeight="1">
      <c r="A79" s="153"/>
      <c r="B79" s="349"/>
      <c r="C79" s="1247" t="s">
        <v>147</v>
      </c>
      <c r="D79" s="1248"/>
      <c r="E79" s="1248"/>
      <c r="F79" s="1248"/>
      <c r="G79" s="827"/>
      <c r="H79" s="1235"/>
      <c r="I79" s="1235"/>
      <c r="J79" s="1235"/>
      <c r="K79" s="1235"/>
      <c r="L79" s="1236"/>
      <c r="M79" s="346"/>
    </row>
    <row r="80" spans="1:16" ht="10.5" customHeight="1">
      <c r="A80" s="153"/>
      <c r="B80" s="358"/>
      <c r="C80" s="1195" t="s">
        <v>567</v>
      </c>
      <c r="D80" s="1195"/>
      <c r="E80" s="1195"/>
      <c r="F80" s="1195"/>
      <c r="G80" s="825">
        <f>'E S'!F22</f>
        <v>8.3333333333333329E-2</v>
      </c>
      <c r="H80" s="1189"/>
      <c r="I80" s="1189"/>
      <c r="J80" s="1189"/>
      <c r="K80" s="1189"/>
      <c r="L80" s="831">
        <f t="shared" ref="L80:L87" si="0">$L$65*G80</f>
        <v>0</v>
      </c>
      <c r="M80" s="341"/>
    </row>
    <row r="81" spans="1:13" ht="10.5" customHeight="1">
      <c r="A81" s="153"/>
      <c r="B81" s="358"/>
      <c r="C81" s="1195" t="s">
        <v>473</v>
      </c>
      <c r="D81" s="1195"/>
      <c r="E81" s="1195"/>
      <c r="F81" s="1195"/>
      <c r="G81" s="825">
        <f>'E S'!F23</f>
        <v>2.7777777777777776E-2</v>
      </c>
      <c r="H81" s="830"/>
      <c r="I81" s="830"/>
      <c r="J81" s="830"/>
      <c r="K81" s="830"/>
      <c r="L81" s="831">
        <f t="shared" si="0"/>
        <v>0</v>
      </c>
      <c r="M81" s="341"/>
    </row>
    <row r="82" spans="1:13" ht="10.5" customHeight="1">
      <c r="A82" s="153"/>
      <c r="B82" s="358"/>
      <c r="C82" s="1196" t="s">
        <v>474</v>
      </c>
      <c r="D82" s="1196"/>
      <c r="E82" s="1196"/>
      <c r="F82" s="1196"/>
      <c r="G82" s="825">
        <f>'E S'!F24</f>
        <v>1.3899999999999999E-2</v>
      </c>
      <c r="H82" s="1189"/>
      <c r="I82" s="1189"/>
      <c r="J82" s="1189"/>
      <c r="K82" s="1189"/>
      <c r="L82" s="831">
        <f t="shared" si="0"/>
        <v>0</v>
      </c>
      <c r="M82" s="341"/>
    </row>
    <row r="83" spans="1:13" ht="10.5" customHeight="1">
      <c r="A83" s="153"/>
      <c r="B83" s="358"/>
      <c r="C83" s="1196" t="s">
        <v>475</v>
      </c>
      <c r="D83" s="1196"/>
      <c r="E83" s="1196"/>
      <c r="F83" s="1196"/>
      <c r="G83" s="825">
        <f>'E S'!F25</f>
        <v>2.0000000000000001E-4</v>
      </c>
      <c r="H83" s="1189"/>
      <c r="I83" s="1189"/>
      <c r="J83" s="1189"/>
      <c r="K83" s="1189"/>
      <c r="L83" s="831">
        <f t="shared" si="0"/>
        <v>0</v>
      </c>
      <c r="M83" s="341"/>
    </row>
    <row r="84" spans="1:13" ht="10.5" customHeight="1">
      <c r="A84" s="153"/>
      <c r="B84" s="358"/>
      <c r="C84" s="1157" t="s">
        <v>476</v>
      </c>
      <c r="D84" s="1158"/>
      <c r="E84" s="1158"/>
      <c r="F84" s="1159"/>
      <c r="G84" s="825">
        <f>'E S'!F26</f>
        <v>2.8E-3</v>
      </c>
      <c r="H84" s="1189"/>
      <c r="I84" s="1189"/>
      <c r="J84" s="1189"/>
      <c r="K84" s="1189"/>
      <c r="L84" s="831">
        <f t="shared" si="0"/>
        <v>0</v>
      </c>
      <c r="M84" s="341"/>
    </row>
    <row r="85" spans="1:13" ht="10.5" customHeight="1">
      <c r="A85" s="153"/>
      <c r="B85" s="358"/>
      <c r="C85" s="1157" t="s">
        <v>477</v>
      </c>
      <c r="D85" s="1158"/>
      <c r="E85" s="1158"/>
      <c r="F85" s="1159"/>
      <c r="G85" s="825">
        <f>'E S'!F27</f>
        <v>3.3E-3</v>
      </c>
      <c r="H85" s="1189"/>
      <c r="I85" s="1189"/>
      <c r="J85" s="1189"/>
      <c r="K85" s="1189"/>
      <c r="L85" s="831">
        <f t="shared" si="0"/>
        <v>0</v>
      </c>
      <c r="M85" s="341"/>
    </row>
    <row r="86" spans="1:13" ht="10.5" customHeight="1">
      <c r="A86" s="153"/>
      <c r="B86" s="358"/>
      <c r="C86" s="1157" t="s">
        <v>478</v>
      </c>
      <c r="D86" s="1158"/>
      <c r="E86" s="1158"/>
      <c r="F86" s="1159"/>
      <c r="G86" s="825">
        <f>'E S'!F28</f>
        <v>4.0000000000000002E-4</v>
      </c>
      <c r="H86" s="830"/>
      <c r="I86" s="830"/>
      <c r="J86" s="830"/>
      <c r="K86" s="830"/>
      <c r="L86" s="831">
        <f t="shared" si="0"/>
        <v>0</v>
      </c>
      <c r="M86" s="341"/>
    </row>
    <row r="87" spans="1:13" ht="10.5" customHeight="1">
      <c r="A87" s="153"/>
      <c r="B87" s="358"/>
      <c r="C87" s="1157" t="s">
        <v>514</v>
      </c>
      <c r="D87" s="1158"/>
      <c r="E87" s="1158"/>
      <c r="F87" s="1159"/>
      <c r="G87" s="825">
        <f>'E S'!F29</f>
        <v>8.3333333333333329E-2</v>
      </c>
      <c r="H87" s="1189"/>
      <c r="I87" s="1189"/>
      <c r="J87" s="1189"/>
      <c r="K87" s="1189"/>
      <c r="L87" s="831">
        <f t="shared" si="0"/>
        <v>0</v>
      </c>
      <c r="M87" s="341"/>
    </row>
    <row r="88" spans="1:13" ht="12.75" customHeight="1">
      <c r="A88" s="153"/>
      <c r="B88" s="358"/>
      <c r="C88" s="1237" t="s">
        <v>98</v>
      </c>
      <c r="D88" s="1238"/>
      <c r="E88" s="1238"/>
      <c r="F88" s="1239"/>
      <c r="G88" s="826">
        <f>SUM(G80:G87)</f>
        <v>0.21504444444444443</v>
      </c>
      <c r="H88" s="1189"/>
      <c r="I88" s="1189"/>
      <c r="J88" s="1189"/>
      <c r="K88" s="1189"/>
      <c r="L88" s="833">
        <f>TRUNC((SUM(L80:L87)),2)</f>
        <v>0</v>
      </c>
      <c r="M88" s="341"/>
    </row>
    <row r="89" spans="1:13" ht="18.75" customHeight="1">
      <c r="A89" s="153"/>
      <c r="B89" s="358"/>
      <c r="C89" s="1247" t="s">
        <v>148</v>
      </c>
      <c r="D89" s="1248"/>
      <c r="E89" s="1248"/>
      <c r="F89" s="1248"/>
      <c r="G89" s="827"/>
      <c r="H89" s="1235"/>
      <c r="I89" s="1235"/>
      <c r="J89" s="1235"/>
      <c r="K89" s="1235"/>
      <c r="L89" s="1236"/>
      <c r="M89" s="341"/>
    </row>
    <row r="90" spans="1:13" ht="10.5" customHeight="1">
      <c r="A90" s="153"/>
      <c r="B90" s="358"/>
      <c r="C90" s="1157" t="s">
        <v>513</v>
      </c>
      <c r="D90" s="1158"/>
      <c r="E90" s="1158"/>
      <c r="F90" s="1159"/>
      <c r="G90" s="825">
        <f>'E S'!F35</f>
        <v>4.5833333333333334E-3</v>
      </c>
      <c r="H90" s="830"/>
      <c r="I90" s="830"/>
      <c r="J90" s="830"/>
      <c r="K90" s="830"/>
      <c r="L90" s="831">
        <f>$L$65*G90</f>
        <v>0</v>
      </c>
      <c r="M90" s="341"/>
    </row>
    <row r="91" spans="1:13" ht="11.25" customHeight="1">
      <c r="A91" s="153"/>
      <c r="B91" s="358"/>
      <c r="C91" s="1157" t="s">
        <v>479</v>
      </c>
      <c r="D91" s="1158"/>
      <c r="E91" s="1158"/>
      <c r="F91" s="1159"/>
      <c r="G91" s="828">
        <f>'E S'!F36</f>
        <v>8.0000000000000004E-4</v>
      </c>
      <c r="H91" s="1189"/>
      <c r="I91" s="1189"/>
      <c r="J91" s="1189"/>
      <c r="K91" s="1189"/>
      <c r="L91" s="832">
        <f>L65*G91</f>
        <v>0</v>
      </c>
      <c r="M91" s="341"/>
    </row>
    <row r="92" spans="1:13">
      <c r="A92" s="153"/>
      <c r="B92" s="358"/>
      <c r="C92" s="1157" t="s">
        <v>480</v>
      </c>
      <c r="D92" s="1158"/>
      <c r="E92" s="1158"/>
      <c r="F92" s="1159"/>
      <c r="G92" s="828">
        <f>'E S'!F37</f>
        <v>3.6000000000000004E-2</v>
      </c>
      <c r="H92" s="1189"/>
      <c r="I92" s="1189"/>
      <c r="J92" s="1189"/>
      <c r="K92" s="1189"/>
      <c r="L92" s="832">
        <f>L65*G92</f>
        <v>0</v>
      </c>
      <c r="M92" s="341"/>
    </row>
    <row r="93" spans="1:13" ht="12.75" customHeight="1">
      <c r="A93" s="153"/>
      <c r="B93" s="358"/>
      <c r="C93" s="1237" t="s">
        <v>98</v>
      </c>
      <c r="D93" s="1238"/>
      <c r="E93" s="1238"/>
      <c r="F93" s="1239"/>
      <c r="G93" s="826">
        <f>SUM(G90:G92)</f>
        <v>4.1383333333333341E-2</v>
      </c>
      <c r="H93" s="1189"/>
      <c r="I93" s="1189"/>
      <c r="J93" s="1189"/>
      <c r="K93" s="1189"/>
      <c r="L93" s="833">
        <f>TRUNC((SUM(L90:L92)),2)</f>
        <v>0</v>
      </c>
      <c r="M93" s="341"/>
    </row>
    <row r="94" spans="1:13" ht="18.75" customHeight="1">
      <c r="A94" s="153"/>
      <c r="B94" s="358"/>
      <c r="C94" s="1247" t="s">
        <v>149</v>
      </c>
      <c r="D94" s="1248"/>
      <c r="E94" s="1248"/>
      <c r="F94" s="1248"/>
      <c r="G94" s="827"/>
      <c r="H94" s="1235"/>
      <c r="I94" s="1235"/>
      <c r="J94" s="1235"/>
      <c r="K94" s="1235"/>
      <c r="L94" s="1236"/>
      <c r="M94" s="341"/>
    </row>
    <row r="95" spans="1:13" ht="11.25" customHeight="1">
      <c r="A95" s="153"/>
      <c r="B95" s="358"/>
      <c r="C95" s="1249" t="s">
        <v>575</v>
      </c>
      <c r="D95" s="1250"/>
      <c r="E95" s="1250"/>
      <c r="F95" s="1251"/>
      <c r="G95" s="825">
        <f>IF(G134&gt;0,G78*(G88-G81+G90),'E S'!F43)</f>
        <v>7.0600800000000005E-2</v>
      </c>
      <c r="H95" s="1189"/>
      <c r="I95" s="1189"/>
      <c r="J95" s="1189"/>
      <c r="K95" s="1189"/>
      <c r="L95" s="831">
        <f>L65*G95</f>
        <v>0</v>
      </c>
      <c r="M95" s="341"/>
    </row>
    <row r="96" spans="1:13" ht="11.25" customHeight="1">
      <c r="A96" s="153"/>
      <c r="B96" s="358"/>
      <c r="C96" s="1237" t="s">
        <v>98</v>
      </c>
      <c r="D96" s="1238"/>
      <c r="E96" s="1238"/>
      <c r="F96" s="1239"/>
      <c r="G96" s="826">
        <f>SUM(G95:G95)</f>
        <v>7.0600800000000005E-2</v>
      </c>
      <c r="H96" s="1189"/>
      <c r="I96" s="1189"/>
      <c r="J96" s="1189"/>
      <c r="K96" s="1189"/>
      <c r="L96" s="834">
        <f>TRUNC((SUM(L95:L95)),2)</f>
        <v>0</v>
      </c>
      <c r="M96" s="341"/>
    </row>
    <row r="97" spans="1:15" ht="18.75" customHeight="1">
      <c r="A97" s="304"/>
      <c r="B97" s="358"/>
      <c r="C97" s="1169" t="s">
        <v>150</v>
      </c>
      <c r="D97" s="1170"/>
      <c r="E97" s="1170"/>
      <c r="F97" s="1240"/>
      <c r="G97" s="829">
        <f>(G78+G88+G93+G96)</f>
        <v>0.69502857777777782</v>
      </c>
      <c r="H97" s="1233"/>
      <c r="I97" s="1234"/>
      <c r="J97" s="1234"/>
      <c r="K97" s="1234"/>
      <c r="L97" s="835"/>
      <c r="M97" s="341"/>
      <c r="O97" s="382"/>
    </row>
    <row r="98" spans="1:15" ht="12" customHeight="1">
      <c r="A98" s="153"/>
      <c r="B98" s="358"/>
      <c r="C98" s="1193" t="s">
        <v>151</v>
      </c>
      <c r="D98" s="1194"/>
      <c r="E98" s="1194"/>
      <c r="F98" s="1194"/>
      <c r="G98" s="1194"/>
      <c r="H98" s="1194"/>
      <c r="I98" s="1194"/>
      <c r="J98" s="1194"/>
      <c r="K98" s="1194"/>
      <c r="L98" s="404">
        <f>TRUNC((G97*L65),2)</f>
        <v>0</v>
      </c>
      <c r="M98" s="341"/>
    </row>
    <row r="99" spans="1:15" ht="6.75" customHeight="1" thickBot="1">
      <c r="A99" s="153"/>
      <c r="B99" s="353"/>
      <c r="C99" s="354"/>
      <c r="D99" s="153"/>
      <c r="E99" s="153"/>
      <c r="F99" s="153"/>
      <c r="G99" s="153"/>
      <c r="H99" s="153"/>
      <c r="I99" s="153"/>
      <c r="J99" s="153"/>
      <c r="K99" s="153"/>
      <c r="L99" s="199"/>
      <c r="M99" s="148"/>
    </row>
    <row r="100" spans="1:15" ht="13.5" thickBot="1">
      <c r="A100" s="153"/>
      <c r="B100" s="1190" t="s">
        <v>152</v>
      </c>
      <c r="C100" s="1191"/>
      <c r="D100" s="1191"/>
      <c r="E100" s="1191"/>
      <c r="F100" s="1191"/>
      <c r="G100" s="1191"/>
      <c r="H100" s="1191"/>
      <c r="I100" s="1191"/>
      <c r="J100" s="1191"/>
      <c r="K100" s="1191"/>
      <c r="L100" s="1191"/>
      <c r="M100" s="1192"/>
    </row>
    <row r="101" spans="1:15" ht="3.75" customHeight="1">
      <c r="A101" s="153"/>
      <c r="B101" s="353"/>
      <c r="C101" s="354"/>
      <c r="D101" s="153"/>
      <c r="E101" s="153"/>
      <c r="F101" s="153"/>
      <c r="G101" s="153"/>
      <c r="H101" s="153"/>
      <c r="I101" s="153"/>
      <c r="J101" s="153"/>
      <c r="K101" s="153"/>
      <c r="L101" s="199"/>
      <c r="M101" s="148"/>
    </row>
    <row r="102" spans="1:15" ht="14.25" customHeight="1">
      <c r="A102" s="153"/>
      <c r="B102" s="353"/>
      <c r="C102" s="1212" t="s">
        <v>78</v>
      </c>
      <c r="D102" s="1213"/>
      <c r="E102" s="1213"/>
      <c r="F102" s="1213"/>
      <c r="G102" s="1186" t="s">
        <v>181</v>
      </c>
      <c r="H102" s="1186"/>
      <c r="I102" s="1186"/>
      <c r="J102" s="1186"/>
      <c r="K102" s="1186"/>
      <c r="L102" s="405" t="s">
        <v>174</v>
      </c>
      <c r="M102" s="148"/>
    </row>
    <row r="103" spans="1:15" ht="9.75" customHeight="1">
      <c r="A103" s="153"/>
      <c r="B103" s="361"/>
      <c r="C103" s="1204">
        <f>IF(L103=0,0,"Vale Refeição / Alimentação")</f>
        <v>0</v>
      </c>
      <c r="D103" s="1205"/>
      <c r="E103" s="1205"/>
      <c r="F103" s="1206"/>
      <c r="G103" s="1197" t="s">
        <v>394</v>
      </c>
      <c r="H103" s="1198"/>
      <c r="I103" s="1198"/>
      <c r="J103" s="1198"/>
      <c r="K103" s="1199"/>
      <c r="L103" s="846">
        <f>Benefícios!AA7</f>
        <v>0</v>
      </c>
      <c r="M103" s="362"/>
    </row>
    <row r="104" spans="1:15" ht="9.75" customHeight="1">
      <c r="A104" s="153"/>
      <c r="B104" s="361"/>
      <c r="C104" s="1204">
        <f>IF(L104=0,0,"Cesta Básica")</f>
        <v>0</v>
      </c>
      <c r="D104" s="1205"/>
      <c r="E104" s="1205"/>
      <c r="F104" s="1206"/>
      <c r="G104" s="1183"/>
      <c r="H104" s="1184"/>
      <c r="I104" s="1184"/>
      <c r="J104" s="1184"/>
      <c r="K104" s="1185"/>
      <c r="L104" s="846">
        <f>Benefícios!AI7</f>
        <v>0</v>
      </c>
      <c r="M104" s="362"/>
    </row>
    <row r="105" spans="1:15" ht="9.75" customHeight="1">
      <c r="A105" s="153"/>
      <c r="B105" s="361"/>
      <c r="C105" s="1204">
        <f>IF(L105=0,0,"Transporte")</f>
        <v>0</v>
      </c>
      <c r="D105" s="1205"/>
      <c r="E105" s="1205"/>
      <c r="F105" s="1206"/>
      <c r="G105" s="1183"/>
      <c r="H105" s="1184"/>
      <c r="I105" s="1184"/>
      <c r="J105" s="1184"/>
      <c r="K105" s="1185"/>
      <c r="L105" s="846">
        <f>Resumo!P33</f>
        <v>0</v>
      </c>
      <c r="M105" s="362"/>
    </row>
    <row r="106" spans="1:15" ht="9.75" customHeight="1">
      <c r="A106" s="153"/>
      <c r="B106" s="361"/>
      <c r="C106" s="1204">
        <f>IF(L106=0,0,"Uniforme / EPI e EPC")</f>
        <v>0</v>
      </c>
      <c r="D106" s="1205"/>
      <c r="E106" s="1205"/>
      <c r="F106" s="1206"/>
      <c r="G106" s="1183"/>
      <c r="H106" s="1184"/>
      <c r="I106" s="1184"/>
      <c r="J106" s="1184"/>
      <c r="K106" s="1185"/>
      <c r="L106" s="846">
        <f>Resumo!P35</f>
        <v>0</v>
      </c>
      <c r="M106" s="362"/>
    </row>
    <row r="107" spans="1:15" ht="9.75" customHeight="1">
      <c r="A107" s="153"/>
      <c r="B107" s="361"/>
      <c r="C107" s="1204">
        <f>IF(L107=0,0,"Seguro de Vida em Grupo")</f>
        <v>0</v>
      </c>
      <c r="D107" s="1205"/>
      <c r="E107" s="1205"/>
      <c r="F107" s="1206"/>
      <c r="G107" s="1183"/>
      <c r="H107" s="1184"/>
      <c r="I107" s="1184"/>
      <c r="J107" s="1184"/>
      <c r="K107" s="1185"/>
      <c r="L107" s="846">
        <f>Benefícios!BG7</f>
        <v>0</v>
      </c>
      <c r="M107" s="362"/>
    </row>
    <row r="108" spans="1:15" ht="9.75" customHeight="1">
      <c r="A108" s="153"/>
      <c r="B108" s="361"/>
      <c r="C108" s="1204">
        <f>IF(L108=0,0,"Assistência Médica")</f>
        <v>0</v>
      </c>
      <c r="D108" s="1205"/>
      <c r="E108" s="1205"/>
      <c r="F108" s="1206"/>
      <c r="G108" s="1183"/>
      <c r="H108" s="1184"/>
      <c r="I108" s="1184"/>
      <c r="J108" s="1184"/>
      <c r="K108" s="1185"/>
      <c r="L108" s="832">
        <f>Benefícios!AQ7</f>
        <v>0</v>
      </c>
      <c r="M108" s="362"/>
    </row>
    <row r="109" spans="1:15" ht="9.75" customHeight="1">
      <c r="A109" s="153"/>
      <c r="B109" s="361"/>
      <c r="C109" s="1204">
        <f>IF(L109=0,0,"Asistência Odontológica")</f>
        <v>0</v>
      </c>
      <c r="D109" s="1205"/>
      <c r="E109" s="1205"/>
      <c r="F109" s="1206"/>
      <c r="G109" s="1183"/>
      <c r="H109" s="1184"/>
      <c r="I109" s="1184"/>
      <c r="J109" s="1184"/>
      <c r="K109" s="1185"/>
      <c r="L109" s="832">
        <f>Benefícios!AY7</f>
        <v>0</v>
      </c>
      <c r="M109" s="362"/>
    </row>
    <row r="110" spans="1:15" ht="9.75" customHeight="1">
      <c r="A110" s="153"/>
      <c r="B110" s="361"/>
      <c r="C110" s="1204">
        <f>IF(L110=0,0,Benefícios!BI5)</f>
        <v>0</v>
      </c>
      <c r="D110" s="1205"/>
      <c r="E110" s="1205"/>
      <c r="F110" s="1206"/>
      <c r="G110" s="1183"/>
      <c r="H110" s="1184"/>
      <c r="I110" s="1184"/>
      <c r="J110" s="1184"/>
      <c r="K110" s="1185"/>
      <c r="L110" s="832">
        <f>Resumo!P43</f>
        <v>0</v>
      </c>
      <c r="M110" s="362"/>
    </row>
    <row r="111" spans="1:15" ht="9.75" customHeight="1">
      <c r="A111" s="153"/>
      <c r="B111" s="361"/>
      <c r="C111" s="1204">
        <f>IF(L111=0,0,"Material")</f>
        <v>0</v>
      </c>
      <c r="D111" s="1205"/>
      <c r="E111" s="1205"/>
      <c r="F111" s="1206"/>
      <c r="G111" s="1183"/>
      <c r="H111" s="1184"/>
      <c r="I111" s="1184"/>
      <c r="J111" s="1184"/>
      <c r="K111" s="1185"/>
      <c r="L111" s="832">
        <f>Resumo!P45</f>
        <v>0</v>
      </c>
      <c r="M111" s="362"/>
    </row>
    <row r="112" spans="1:15" ht="9.75" customHeight="1">
      <c r="A112" s="153"/>
      <c r="B112" s="361"/>
      <c r="C112" s="1204">
        <f>IF(L112=0,0,"Equipamentos e Utensílios - Depreciação")</f>
        <v>0</v>
      </c>
      <c r="D112" s="1205"/>
      <c r="E112" s="1205"/>
      <c r="F112" s="1206"/>
      <c r="G112" s="1183"/>
      <c r="H112" s="1184"/>
      <c r="I112" s="1184"/>
      <c r="J112" s="1184"/>
      <c r="K112" s="1185"/>
      <c r="L112" s="832">
        <f>DE!O8</f>
        <v>0</v>
      </c>
      <c r="M112" s="362"/>
    </row>
    <row r="113" spans="1:13" ht="9.75" customHeight="1">
      <c r="A113" s="153"/>
      <c r="B113" s="361"/>
      <c r="C113" s="1204">
        <f>IF(L113=0,0,"Manutenção e Peças - Equipamentos")</f>
        <v>0</v>
      </c>
      <c r="D113" s="1205"/>
      <c r="E113" s="1205"/>
      <c r="F113" s="1206"/>
      <c r="G113" s="847"/>
      <c r="H113" s="848"/>
      <c r="I113" s="848"/>
      <c r="J113" s="848"/>
      <c r="K113" s="849"/>
      <c r="L113" s="832">
        <f>DE!S8</f>
        <v>0</v>
      </c>
      <c r="M113" s="362"/>
    </row>
    <row r="114" spans="1:13" ht="9.75" customHeight="1">
      <c r="A114" s="153"/>
      <c r="B114" s="361"/>
      <c r="C114" s="1204">
        <f>IF(L114=0,0,"Veículos - Depreciação")</f>
        <v>0</v>
      </c>
      <c r="D114" s="1205"/>
      <c r="E114" s="1205"/>
      <c r="F114" s="1206"/>
      <c r="G114" s="1183"/>
      <c r="H114" s="1184"/>
      <c r="I114" s="1184"/>
      <c r="J114" s="1184"/>
      <c r="K114" s="1185"/>
      <c r="L114" s="832">
        <f>Resumo!P49</f>
        <v>0</v>
      </c>
      <c r="M114" s="362"/>
    </row>
    <row r="115" spans="1:13" ht="9.75" customHeight="1">
      <c r="A115" s="153"/>
      <c r="B115" s="361"/>
      <c r="C115" s="1204">
        <f>IF(L115=0,0,"Despesas Operacionais com Veículos")</f>
        <v>0</v>
      </c>
      <c r="D115" s="1205"/>
      <c r="E115" s="1205"/>
      <c r="F115" s="1206"/>
      <c r="G115" s="1183"/>
      <c r="H115" s="1184"/>
      <c r="I115" s="1184"/>
      <c r="J115" s="1184"/>
      <c r="K115" s="1185"/>
      <c r="L115" s="832">
        <f>DV!S8</f>
        <v>0</v>
      </c>
      <c r="M115" s="362"/>
    </row>
    <row r="116" spans="1:13" ht="9.75" customHeight="1">
      <c r="A116" s="153"/>
      <c r="B116" s="361"/>
      <c r="C116" s="1204">
        <f>IF(L116=0,0,"Despesas Gerais")</f>
        <v>0</v>
      </c>
      <c r="D116" s="1205"/>
      <c r="E116" s="1205"/>
      <c r="F116" s="1206"/>
      <c r="G116" s="1183"/>
      <c r="H116" s="1184"/>
      <c r="I116" s="1184"/>
      <c r="J116" s="1184"/>
      <c r="K116" s="1185"/>
      <c r="L116" s="832">
        <f>DG!K7</f>
        <v>0</v>
      </c>
      <c r="M116" s="362"/>
    </row>
    <row r="117" spans="1:13" ht="9.75" customHeight="1">
      <c r="A117" s="153"/>
      <c r="B117" s="361"/>
      <c r="C117" s="1204">
        <f>IF(L117=0,0,Benefícios!BQ5)</f>
        <v>0</v>
      </c>
      <c r="D117" s="1205"/>
      <c r="E117" s="1205"/>
      <c r="F117" s="1206"/>
      <c r="G117" s="1183"/>
      <c r="H117" s="1184"/>
      <c r="I117" s="1184"/>
      <c r="J117" s="1184"/>
      <c r="K117" s="1185"/>
      <c r="L117" s="832">
        <f>Benefícios!BW7</f>
        <v>0</v>
      </c>
      <c r="M117" s="362"/>
    </row>
    <row r="118" spans="1:13">
      <c r="A118" s="153"/>
      <c r="B118" s="361"/>
      <c r="C118" s="1193" t="s">
        <v>153</v>
      </c>
      <c r="D118" s="1194"/>
      <c r="E118" s="1194"/>
      <c r="F118" s="1194"/>
      <c r="G118" s="1170"/>
      <c r="H118" s="1170"/>
      <c r="I118" s="1170"/>
      <c r="J118" s="1170"/>
      <c r="K118" s="1170"/>
      <c r="L118" s="463">
        <f>TRUNC(SUM(L103:L117),2)</f>
        <v>0</v>
      </c>
      <c r="M118" s="362"/>
    </row>
    <row r="119" spans="1:13" ht="6.75" customHeight="1">
      <c r="A119" s="153"/>
      <c r="B119" s="361"/>
      <c r="C119" s="401"/>
      <c r="D119" s="402"/>
      <c r="E119" s="402"/>
      <c r="F119" s="402"/>
      <c r="G119" s="402"/>
      <c r="H119" s="402"/>
      <c r="I119" s="402"/>
      <c r="J119" s="402"/>
      <c r="K119" s="402"/>
      <c r="L119" s="407"/>
      <c r="M119" s="362"/>
    </row>
    <row r="120" spans="1:13">
      <c r="A120" s="153"/>
      <c r="B120" s="361"/>
      <c r="C120" s="1169" t="s">
        <v>466</v>
      </c>
      <c r="D120" s="1170"/>
      <c r="E120" s="1170"/>
      <c r="F120" s="1170"/>
      <c r="G120" s="1170"/>
      <c r="H120" s="1170"/>
      <c r="I120" s="1170"/>
      <c r="J120" s="1170"/>
      <c r="K120" s="1170"/>
      <c r="L120" s="463">
        <f>(L61+L98+L118)</f>
        <v>0</v>
      </c>
      <c r="M120" s="362"/>
    </row>
    <row r="121" spans="1:13" ht="6.75" customHeight="1" thickBot="1">
      <c r="A121" s="153"/>
      <c r="B121" s="353"/>
      <c r="C121" s="354"/>
      <c r="D121" s="363"/>
      <c r="E121" s="363"/>
      <c r="F121" s="363"/>
      <c r="G121" s="363"/>
      <c r="H121" s="363"/>
      <c r="I121" s="363"/>
      <c r="J121" s="363"/>
      <c r="K121" s="363"/>
      <c r="L121" s="364"/>
      <c r="M121" s="148"/>
    </row>
    <row r="122" spans="1:13" ht="13.5" thickBot="1">
      <c r="A122" s="153"/>
      <c r="B122" s="1190" t="s">
        <v>0</v>
      </c>
      <c r="C122" s="1191"/>
      <c r="D122" s="1191"/>
      <c r="E122" s="1191"/>
      <c r="F122" s="1191"/>
      <c r="G122" s="1191"/>
      <c r="H122" s="1191"/>
      <c r="I122" s="1191"/>
      <c r="J122" s="1191"/>
      <c r="K122" s="1191"/>
      <c r="L122" s="1191"/>
      <c r="M122" s="1192"/>
    </row>
    <row r="123" spans="1:13" ht="3.75" customHeight="1" thickBot="1">
      <c r="A123" s="1214"/>
      <c r="B123" s="1214"/>
      <c r="C123" s="1214"/>
      <c r="D123" s="1214"/>
      <c r="E123" s="1214"/>
      <c r="F123" s="1214"/>
      <c r="G123" s="1214"/>
      <c r="H123" s="1214"/>
      <c r="I123" s="1214"/>
      <c r="J123" s="1214"/>
      <c r="K123" s="1214"/>
      <c r="L123" s="1214"/>
      <c r="M123" s="1214"/>
    </row>
    <row r="124" spans="1:13" ht="13.5" thickBot="1">
      <c r="A124" s="153"/>
      <c r="B124" s="1190" t="s">
        <v>577</v>
      </c>
      <c r="C124" s="1191"/>
      <c r="D124" s="1191"/>
      <c r="E124" s="1191"/>
      <c r="F124" s="1191"/>
      <c r="G124" s="1191"/>
      <c r="H124" s="1191"/>
      <c r="I124" s="1191"/>
      <c r="J124" s="1191"/>
      <c r="K124" s="1191"/>
      <c r="L124" s="1191"/>
      <c r="M124" s="1192"/>
    </row>
    <row r="125" spans="1:13" ht="3.75" customHeight="1">
      <c r="A125" s="153"/>
      <c r="B125" s="153"/>
      <c r="C125" s="354"/>
      <c r="D125" s="153"/>
      <c r="E125" s="153"/>
      <c r="F125" s="153"/>
      <c r="G125" s="153"/>
      <c r="H125" s="153"/>
      <c r="I125" s="153"/>
      <c r="J125" s="153"/>
      <c r="K125" s="153"/>
      <c r="L125" s="199"/>
      <c r="M125" s="148"/>
    </row>
    <row r="126" spans="1:13">
      <c r="A126" s="153"/>
      <c r="B126" s="1257"/>
      <c r="C126" s="1146" t="s">
        <v>207</v>
      </c>
      <c r="D126" s="1147"/>
      <c r="E126" s="1147"/>
      <c r="F126" s="1148"/>
      <c r="G126" s="836">
        <f>MC!D6</f>
        <v>0.1462</v>
      </c>
      <c r="H126" s="1149"/>
      <c r="I126" s="1150"/>
      <c r="J126" s="1150"/>
      <c r="K126" s="1151"/>
      <c r="L126" s="843">
        <f>TRUNC(($L$120*G126),2)</f>
        <v>0</v>
      </c>
      <c r="M126" s="1244"/>
    </row>
    <row r="127" spans="1:13" ht="12.75" hidden="1" customHeight="1">
      <c r="A127" s="153"/>
      <c r="B127" s="1258"/>
      <c r="C127" s="1259" t="s">
        <v>98</v>
      </c>
      <c r="D127" s="1260"/>
      <c r="E127" s="1260"/>
      <c r="F127" s="1261"/>
      <c r="G127" s="368">
        <f>SUM(G126:G126)</f>
        <v>0.1462</v>
      </c>
      <c r="H127" s="1149"/>
      <c r="I127" s="1150"/>
      <c r="J127" s="1150"/>
      <c r="K127" s="1151"/>
      <c r="L127" s="369">
        <f>SUM(L126:L126)</f>
        <v>0</v>
      </c>
      <c r="M127" s="1245"/>
    </row>
    <row r="128" spans="1:13" ht="3.75" customHeight="1" thickBot="1">
      <c r="A128" s="153"/>
      <c r="B128" s="354"/>
      <c r="C128" s="371"/>
      <c r="D128" s="371"/>
      <c r="E128" s="371"/>
      <c r="F128" s="371"/>
      <c r="G128" s="372"/>
      <c r="H128" s="359"/>
      <c r="I128" s="359"/>
      <c r="J128" s="359"/>
      <c r="K128" s="359"/>
      <c r="L128" s="373"/>
      <c r="M128" s="354"/>
    </row>
    <row r="129" spans="1:15" ht="13.5" thickBot="1">
      <c r="A129" s="339"/>
      <c r="B129" s="1162" t="s">
        <v>163</v>
      </c>
      <c r="C129" s="1163"/>
      <c r="D129" s="1163"/>
      <c r="E129" s="1163"/>
      <c r="F129" s="1163"/>
      <c r="G129" s="1163"/>
      <c r="H129" s="1163"/>
      <c r="I129" s="1163"/>
      <c r="J129" s="1163"/>
      <c r="K129" s="1163"/>
      <c r="L129" s="1163"/>
      <c r="M129" s="1164"/>
      <c r="N129" s="304"/>
    </row>
    <row r="130" spans="1:15" ht="3.75" customHeight="1">
      <c r="A130" s="339"/>
      <c r="B130" s="282"/>
      <c r="C130" s="1228"/>
      <c r="D130" s="1228"/>
      <c r="E130" s="1228"/>
      <c r="F130" s="1228"/>
      <c r="G130" s="1228"/>
      <c r="H130" s="1229"/>
      <c r="I130" s="1229"/>
      <c r="J130" s="1229"/>
      <c r="K130" s="1229"/>
      <c r="L130" s="1228"/>
      <c r="M130" s="304"/>
    </row>
    <row r="131" spans="1:15" ht="12.75" customHeight="1">
      <c r="A131" s="153"/>
      <c r="B131" s="365"/>
      <c r="C131" s="790" t="str">
        <f>IF(G131=0,0,"01 - ISS")</f>
        <v>01 - ISS</v>
      </c>
      <c r="D131" s="841"/>
      <c r="E131" s="841"/>
      <c r="F131" s="842"/>
      <c r="G131" s="837">
        <f>IF($G$134&gt;0,0,MC!D11)</f>
        <v>0.05</v>
      </c>
      <c r="H131" s="1149"/>
      <c r="I131" s="1150"/>
      <c r="J131" s="1150"/>
      <c r="K131" s="1151"/>
      <c r="L131" s="839">
        <f>TRUNC(((L$120+L$127)/(1-G$135)*G131),2)</f>
        <v>0</v>
      </c>
      <c r="M131" s="1244"/>
    </row>
    <row r="132" spans="1:15" ht="12.75" customHeight="1">
      <c r="A132" s="153"/>
      <c r="B132" s="365"/>
      <c r="C132" s="790" t="str">
        <f>IF(G132=0,0,"02 - PIS")</f>
        <v>02 - PIS</v>
      </c>
      <c r="D132" s="841"/>
      <c r="E132" s="841"/>
      <c r="F132" s="842"/>
      <c r="G132" s="837">
        <f>IF($G$134&gt;0,0,O132)</f>
        <v>6.4999999999999997E-3</v>
      </c>
      <c r="H132" s="904"/>
      <c r="I132" s="902"/>
      <c r="J132" s="902"/>
      <c r="K132" s="903"/>
      <c r="L132" s="839">
        <f>TRUNC(((L$120+L$127)/(1-G$135)*G132),2)</f>
        <v>0</v>
      </c>
      <c r="M132" s="1245"/>
      <c r="O132" s="905">
        <f>IF(MC!D12&gt;0.65%,0,MC!D12)</f>
        <v>6.4999999999999997E-3</v>
      </c>
    </row>
    <row r="133" spans="1:15" ht="12.75" customHeight="1">
      <c r="A133" s="153"/>
      <c r="B133" s="365"/>
      <c r="C133" s="790" t="str">
        <f>IF(G133=0,0,"03 - COFINS")</f>
        <v>03 - COFINS</v>
      </c>
      <c r="D133" s="841"/>
      <c r="E133" s="841"/>
      <c r="F133" s="842"/>
      <c r="G133" s="837">
        <f>IF($G$134&gt;0,0,O133)</f>
        <v>0.03</v>
      </c>
      <c r="H133" s="904"/>
      <c r="I133" s="902"/>
      <c r="J133" s="902"/>
      <c r="K133" s="903"/>
      <c r="L133" s="839">
        <f>TRUNC(((L$120+L$127)/(1-G$135)*G133),2)</f>
        <v>0</v>
      </c>
      <c r="M133" s="1245"/>
      <c r="O133" s="905">
        <f>IF(MC!D13&gt;3%,0,MC!D13)</f>
        <v>0.03</v>
      </c>
    </row>
    <row r="134" spans="1:15" ht="12.75" customHeight="1">
      <c r="A134" s="153"/>
      <c r="B134" s="365"/>
      <c r="C134" s="790">
        <f>IF(G134=0,0,"04 - IMPOSTO SIMPLES ")</f>
        <v>0</v>
      </c>
      <c r="D134" s="791"/>
      <c r="E134" s="791"/>
      <c r="F134" s="792"/>
      <c r="G134" s="837">
        <f>IF(MC!D14&gt;0,MC!D14,0)</f>
        <v>0</v>
      </c>
      <c r="H134" s="366"/>
      <c r="I134" s="359"/>
      <c r="J134" s="359"/>
      <c r="K134" s="367"/>
      <c r="L134" s="839">
        <f>TRUNC(((L$120+L$127)/(1-G$135)*G134),2)</f>
        <v>0</v>
      </c>
      <c r="M134" s="370"/>
    </row>
    <row r="135" spans="1:15">
      <c r="A135" s="153"/>
      <c r="B135" s="365"/>
      <c r="C135" s="1152" t="s">
        <v>98</v>
      </c>
      <c r="D135" s="1153"/>
      <c r="E135" s="1153"/>
      <c r="F135" s="1154"/>
      <c r="G135" s="838">
        <f>SUM(G131:G134)</f>
        <v>8.6499999999999994E-2</v>
      </c>
      <c r="H135" s="366"/>
      <c r="I135" s="359"/>
      <c r="J135" s="359"/>
      <c r="K135" s="367"/>
      <c r="L135" s="840">
        <f>SUM(L131:L134)</f>
        <v>0</v>
      </c>
      <c r="M135" s="370"/>
    </row>
    <row r="136" spans="1:15" ht="7.5" customHeight="1">
      <c r="A136" s="153"/>
      <c r="B136" s="365"/>
      <c r="C136" s="375"/>
      <c r="D136" s="376"/>
      <c r="E136" s="376"/>
      <c r="F136" s="376"/>
      <c r="G136" s="377"/>
      <c r="H136" s="378"/>
      <c r="I136" s="378"/>
      <c r="J136" s="378"/>
      <c r="K136" s="378"/>
      <c r="L136" s="379"/>
      <c r="M136" s="370"/>
    </row>
    <row r="137" spans="1:15">
      <c r="A137" s="153"/>
      <c r="B137" s="365"/>
      <c r="E137" s="406"/>
      <c r="G137" s="374"/>
      <c r="H137" s="1165" t="s">
        <v>165</v>
      </c>
      <c r="I137" s="1165"/>
      <c r="J137" s="1165"/>
      <c r="K137" s="1165"/>
      <c r="L137" s="463">
        <f>SUM(L127,L135)</f>
        <v>0</v>
      </c>
      <c r="M137" s="362"/>
    </row>
    <row r="138" spans="1:15" ht="6.75" customHeight="1">
      <c r="A138" s="153"/>
      <c r="B138" s="365"/>
      <c r="C138" s="1144"/>
      <c r="D138" s="1145"/>
      <c r="E138" s="1145"/>
      <c r="F138" s="1145"/>
      <c r="G138" s="380"/>
      <c r="L138" s="381"/>
      <c r="M138" s="354"/>
    </row>
    <row r="139" spans="1:15" ht="11.25" customHeight="1">
      <c r="A139" s="153"/>
      <c r="B139" s="365"/>
      <c r="C139" s="1169" t="s">
        <v>465</v>
      </c>
      <c r="D139" s="1170"/>
      <c r="E139" s="1170"/>
      <c r="F139" s="1170"/>
      <c r="G139" s="1170"/>
      <c r="H139" s="1170"/>
      <c r="I139" s="1170"/>
      <c r="J139" s="1170"/>
      <c r="K139" s="1170"/>
      <c r="L139" s="407">
        <f>TRUNC((L120+L137),2)</f>
        <v>0</v>
      </c>
      <c r="M139" s="362"/>
      <c r="N139" s="382"/>
    </row>
    <row r="140" spans="1:15" ht="3.75" customHeight="1" thickBot="1">
      <c r="A140" s="153"/>
      <c r="C140" s="196"/>
      <c r="D140" s="148"/>
      <c r="E140" s="148"/>
      <c r="F140" s="148"/>
      <c r="G140" s="148"/>
      <c r="H140" s="148"/>
      <c r="I140" s="148"/>
      <c r="J140" s="148"/>
      <c r="K140" s="148"/>
      <c r="L140" s="199"/>
      <c r="M140" s="148"/>
    </row>
    <row r="141" spans="1:15" ht="13.5" customHeight="1" thickBot="1">
      <c r="A141" s="383"/>
      <c r="B141" s="1162" t="s">
        <v>210</v>
      </c>
      <c r="C141" s="1163"/>
      <c r="D141" s="1163"/>
      <c r="E141" s="1163"/>
      <c r="F141" s="1163"/>
      <c r="G141" s="1163"/>
      <c r="H141" s="1163"/>
      <c r="I141" s="1163"/>
      <c r="J141" s="1163"/>
      <c r="K141" s="1163"/>
      <c r="L141" s="1163"/>
      <c r="M141" s="1164"/>
    </row>
    <row r="142" spans="1:15" ht="4.5" customHeight="1">
      <c r="A142" s="383"/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</row>
    <row r="143" spans="1:15" ht="2.25" hidden="1" customHeight="1">
      <c r="A143" s="153"/>
      <c r="B143" s="338"/>
      <c r="C143" s="218"/>
      <c r="D143" s="178"/>
      <c r="E143" s="178"/>
      <c r="F143" s="178"/>
      <c r="G143" s="178"/>
      <c r="H143" s="178"/>
      <c r="I143" s="385">
        <f>ROUND(H145*I145,2)</f>
        <v>0</v>
      </c>
      <c r="J143" s="178"/>
      <c r="K143" s="178"/>
      <c r="L143" s="199"/>
      <c r="M143" s="148"/>
    </row>
    <row r="144" spans="1:15" ht="20.25" customHeight="1">
      <c r="A144" s="153"/>
      <c r="B144" s="358"/>
      <c r="C144" s="1155" t="s">
        <v>156</v>
      </c>
      <c r="D144" s="1211"/>
      <c r="E144" s="1156"/>
      <c r="F144" s="410" t="s">
        <v>211</v>
      </c>
      <c r="G144" s="409" t="s">
        <v>212</v>
      </c>
      <c r="H144" s="410" t="s">
        <v>213</v>
      </c>
      <c r="I144" s="408" t="s">
        <v>214</v>
      </c>
      <c r="J144" s="1155" t="s">
        <v>172</v>
      </c>
      <c r="K144" s="1156"/>
      <c r="L144" s="410" t="s">
        <v>178</v>
      </c>
      <c r="M144" s="340"/>
      <c r="N144" s="340"/>
      <c r="O144" s="346"/>
    </row>
    <row r="145" spans="1:16" ht="14.25" customHeight="1">
      <c r="A145" s="153"/>
      <c r="B145" s="358"/>
      <c r="C145" s="1230" t="s">
        <v>215</v>
      </c>
      <c r="D145" s="1231"/>
      <c r="E145" s="1232"/>
      <c r="F145" s="823">
        <f>L61</f>
        <v>0</v>
      </c>
      <c r="G145" s="828">
        <v>0.23330000000000001</v>
      </c>
      <c r="H145" s="844">
        <f>IF(F145&lt;=L61,ROUND((F145*G145),2),0)</f>
        <v>0</v>
      </c>
      <c r="I145" s="828">
        <f>G126</f>
        <v>0.1462</v>
      </c>
      <c r="J145" s="1167">
        <f>G135</f>
        <v>8.6499999999999994E-2</v>
      </c>
      <c r="K145" s="1168"/>
      <c r="L145" s="845">
        <f>TRUNC((((H145+I143)/(1-J145)*J145)+H145+I143),2)</f>
        <v>0</v>
      </c>
      <c r="M145" s="341"/>
    </row>
    <row r="146" spans="1:16" ht="12" customHeight="1">
      <c r="A146" s="153"/>
      <c r="B146" s="386"/>
      <c r="C146" s="1169" t="s">
        <v>30</v>
      </c>
      <c r="D146" s="1170"/>
      <c r="E146" s="1170"/>
      <c r="F146" s="1170"/>
      <c r="G146" s="1170"/>
      <c r="H146" s="1170"/>
      <c r="I146" s="1170"/>
      <c r="J146" s="1170"/>
      <c r="K146" s="1170"/>
      <c r="L146" s="411">
        <f>L145</f>
        <v>0</v>
      </c>
      <c r="M146" s="354"/>
    </row>
    <row r="147" spans="1:16" ht="3.75" customHeight="1" thickBot="1">
      <c r="A147" s="153"/>
      <c r="C147" s="196"/>
      <c r="D147" s="148"/>
      <c r="E147" s="148"/>
      <c r="F147" s="148"/>
      <c r="G147" s="148"/>
      <c r="H147" s="148"/>
      <c r="I147" s="148"/>
      <c r="J147" s="148"/>
      <c r="K147" s="148"/>
      <c r="L147" s="199"/>
      <c r="M147" s="148"/>
    </row>
    <row r="148" spans="1:16" ht="13.5" customHeight="1" thickBot="1">
      <c r="A148" s="153"/>
      <c r="B148" s="1190" t="s">
        <v>216</v>
      </c>
      <c r="C148" s="1191"/>
      <c r="D148" s="1191"/>
      <c r="E148" s="1191"/>
      <c r="F148" s="1191"/>
      <c r="G148" s="1191"/>
      <c r="H148" s="1191"/>
      <c r="I148" s="1191"/>
      <c r="J148" s="1191"/>
      <c r="K148" s="1191"/>
      <c r="L148" s="1191"/>
      <c r="M148" s="1192"/>
    </row>
    <row r="149" spans="1:16" ht="3.75" customHeight="1">
      <c r="A149" s="153"/>
      <c r="C149" s="196"/>
      <c r="D149" s="148"/>
      <c r="E149" s="148"/>
      <c r="F149" s="148"/>
      <c r="G149" s="148"/>
      <c r="H149" s="148"/>
      <c r="I149" s="148"/>
      <c r="J149" s="148"/>
      <c r="K149" s="148"/>
      <c r="L149" s="199"/>
      <c r="M149" s="148"/>
    </row>
    <row r="150" spans="1:16" ht="13.5" customHeight="1">
      <c r="A150" s="153"/>
      <c r="B150" s="358"/>
      <c r="C150" s="1173"/>
      <c r="D150" s="1174"/>
      <c r="E150" s="1174"/>
      <c r="F150" s="1174"/>
      <c r="G150" s="1174"/>
      <c r="H150" s="1174"/>
      <c r="I150" s="1174"/>
      <c r="J150" s="1174"/>
      <c r="K150" s="1174"/>
      <c r="L150" s="1175"/>
      <c r="M150" s="341"/>
    </row>
    <row r="151" spans="1:16" ht="13.5" customHeight="1">
      <c r="A151" s="153"/>
      <c r="B151" s="358"/>
      <c r="C151" s="1176"/>
      <c r="D151" s="1177"/>
      <c r="E151" s="1177"/>
      <c r="F151" s="1177"/>
      <c r="G151" s="1177"/>
      <c r="H151" s="1177"/>
      <c r="I151" s="1177"/>
      <c r="J151" s="1177"/>
      <c r="K151" s="1177"/>
      <c r="L151" s="1178"/>
      <c r="M151" s="341"/>
    </row>
    <row r="152" spans="1:16" ht="13.5" customHeight="1">
      <c r="A152" s="153"/>
      <c r="B152" s="358"/>
      <c r="C152" s="1176"/>
      <c r="D152" s="1177"/>
      <c r="E152" s="1177"/>
      <c r="F152" s="1177"/>
      <c r="G152" s="1177"/>
      <c r="H152" s="1177"/>
      <c r="I152" s="1177"/>
      <c r="J152" s="1177"/>
      <c r="K152" s="1177"/>
      <c r="L152" s="1178"/>
      <c r="M152" s="341"/>
    </row>
    <row r="153" spans="1:16" ht="13.5" customHeight="1">
      <c r="A153" s="153"/>
      <c r="B153" s="358"/>
      <c r="C153" s="1176"/>
      <c r="D153" s="1177"/>
      <c r="E153" s="1177"/>
      <c r="F153" s="1177"/>
      <c r="G153" s="1177"/>
      <c r="H153" s="1177"/>
      <c r="I153" s="1177"/>
      <c r="J153" s="1177"/>
      <c r="K153" s="1177"/>
      <c r="L153" s="1178"/>
      <c r="M153" s="341"/>
    </row>
    <row r="154" spans="1:16" ht="13.5" customHeight="1">
      <c r="A154" s="153"/>
      <c r="B154" s="358"/>
      <c r="C154" s="1179"/>
      <c r="D154" s="1180"/>
      <c r="E154" s="1180"/>
      <c r="F154" s="1180"/>
      <c r="G154" s="1180"/>
      <c r="H154" s="1180"/>
      <c r="I154" s="1180"/>
      <c r="J154" s="1180"/>
      <c r="K154" s="1180"/>
      <c r="L154" s="1181"/>
      <c r="M154" s="341"/>
    </row>
    <row r="155" spans="1:16" ht="9.75" customHeight="1">
      <c r="A155" s="153"/>
      <c r="B155" s="358"/>
      <c r="C155" s="1241" t="s">
        <v>154</v>
      </c>
      <c r="D155" s="1242"/>
      <c r="E155" s="1242"/>
      <c r="F155" s="1242"/>
      <c r="G155" s="1242"/>
      <c r="H155" s="1242"/>
      <c r="I155" s="1242"/>
      <c r="J155" s="1242"/>
      <c r="K155" s="1242"/>
      <c r="L155" s="1243"/>
      <c r="M155" s="346"/>
    </row>
    <row r="156" spans="1:16" ht="4.5" customHeight="1">
      <c r="A156" s="153"/>
      <c r="B156" s="358"/>
      <c r="C156" s="1209"/>
      <c r="D156" s="1210"/>
      <c r="E156" s="1210"/>
      <c r="F156" s="1210"/>
      <c r="G156" s="1210"/>
      <c r="H156" s="1210"/>
      <c r="I156" s="1210"/>
      <c r="J156" s="1210"/>
      <c r="K156" s="1210"/>
      <c r="L156" s="387"/>
      <c r="M156" s="341"/>
    </row>
    <row r="157" spans="1:16" ht="15" customHeight="1">
      <c r="A157" s="153"/>
      <c r="B157" s="349"/>
      <c r="C157" s="360"/>
      <c r="D157" s="352"/>
      <c r="E157" s="352"/>
      <c r="F157" s="352"/>
      <c r="G157" s="352"/>
      <c r="H157" s="352"/>
      <c r="I157" s="388"/>
      <c r="J157" s="388"/>
      <c r="K157" s="412" t="s">
        <v>6</v>
      </c>
      <c r="L157" s="413"/>
      <c r="M157" s="346"/>
    </row>
    <row r="158" spans="1:16" ht="3.75" customHeight="1" thickBot="1">
      <c r="A158" s="153"/>
      <c r="C158" s="196"/>
      <c r="D158" s="148"/>
      <c r="E158" s="148"/>
      <c r="F158" s="148"/>
      <c r="G158" s="148"/>
      <c r="H158" s="148"/>
      <c r="I158" s="148"/>
      <c r="J158" s="148"/>
      <c r="K158" s="148"/>
      <c r="L158" s="199"/>
      <c r="M158" s="148"/>
    </row>
    <row r="159" spans="1:16" ht="18.75" customHeight="1" thickBot="1">
      <c r="A159" s="383"/>
      <c r="B159" s="1171" t="s">
        <v>22</v>
      </c>
      <c r="C159" s="1172"/>
      <c r="D159" s="1172"/>
      <c r="E159" s="1172"/>
      <c r="F159" s="414">
        <f>Dados!C18</f>
        <v>12</v>
      </c>
      <c r="G159" s="414" t="s">
        <v>164</v>
      </c>
      <c r="H159" s="1166" t="s">
        <v>242</v>
      </c>
      <c r="I159" s="1166"/>
      <c r="J159" s="1166"/>
      <c r="K159" s="1207">
        <f>(L139*F159)+(L145+L157)</f>
        <v>0</v>
      </c>
      <c r="L159" s="1207"/>
      <c r="M159" s="1208"/>
      <c r="O159" s="1160"/>
      <c r="P159" s="1160"/>
    </row>
    <row r="160" spans="1:16" ht="3.75" customHeight="1" thickBot="1">
      <c r="A160" s="153"/>
      <c r="C160" s="196"/>
      <c r="D160" s="148"/>
      <c r="E160" s="148"/>
      <c r="F160" s="148"/>
      <c r="G160" s="148"/>
      <c r="H160" s="148"/>
      <c r="I160" s="148"/>
      <c r="J160" s="148"/>
      <c r="K160" s="148"/>
      <c r="L160" s="199"/>
      <c r="M160" s="148"/>
    </row>
    <row r="161" spans="1:16" ht="13.5" customHeight="1" thickBot="1">
      <c r="A161" s="383"/>
      <c r="B161" s="1262" t="s">
        <v>155</v>
      </c>
      <c r="C161" s="1263"/>
      <c r="D161" s="1263"/>
      <c r="E161" s="1263"/>
      <c r="F161" s="1263"/>
      <c r="G161" s="1263"/>
      <c r="H161" s="1263"/>
      <c r="I161" s="1263"/>
      <c r="J161" s="1263"/>
      <c r="K161" s="1263"/>
      <c r="L161" s="1263"/>
      <c r="M161" s="1264"/>
      <c r="O161" s="1161"/>
      <c r="P161" s="1161"/>
    </row>
    <row r="162" spans="1:16" ht="3.75" customHeight="1">
      <c r="A162" s="153"/>
      <c r="B162" s="338"/>
      <c r="C162" s="218"/>
      <c r="D162" s="178"/>
      <c r="E162" s="178"/>
      <c r="F162" s="178"/>
      <c r="G162" s="178"/>
      <c r="H162" s="178"/>
      <c r="I162" s="178"/>
      <c r="J162" s="178"/>
      <c r="K162" s="178"/>
      <c r="L162" s="199"/>
      <c r="M162" s="148"/>
    </row>
    <row r="163" spans="1:16">
      <c r="A163" s="153"/>
      <c r="B163" s="358"/>
      <c r="C163" s="410" t="s">
        <v>136</v>
      </c>
      <c r="D163" s="1155" t="s">
        <v>156</v>
      </c>
      <c r="E163" s="1156"/>
      <c r="F163" s="1155" t="s">
        <v>157</v>
      </c>
      <c r="G163" s="1211"/>
      <c r="H163" s="1211"/>
      <c r="I163" s="1211"/>
      <c r="J163" s="1211"/>
      <c r="K163" s="1211"/>
      <c r="L163" s="1156"/>
      <c r="M163" s="341"/>
      <c r="O163" s="1139"/>
      <c r="P163" s="1140"/>
    </row>
    <row r="164" spans="1:16" ht="22.5" customHeight="1">
      <c r="A164" s="153"/>
      <c r="B164" s="358"/>
      <c r="C164" s="857">
        <f>IF(F61&gt;0,F61,0)</f>
        <v>0</v>
      </c>
      <c r="D164" s="1283">
        <f>IF(C164=0,0,"Folguistas")</f>
        <v>0</v>
      </c>
      <c r="E164" s="1286"/>
      <c r="F164" s="1283">
        <f>IF(C164=0,0,"O Campo Adicionais está contemplando a cobertura de folgas  para os empregados que laboram em regime de escala de revezamento.")</f>
        <v>0</v>
      </c>
      <c r="G164" s="1284"/>
      <c r="H164" s="1284"/>
      <c r="I164" s="1284"/>
      <c r="J164" s="1284"/>
      <c r="K164" s="1284"/>
      <c r="L164" s="1285"/>
      <c r="M164" s="341"/>
      <c r="O164" s="389"/>
    </row>
    <row r="165" spans="1:16" ht="21.75" customHeight="1">
      <c r="A165" s="153"/>
      <c r="B165" s="358"/>
      <c r="C165" s="858"/>
      <c r="D165" s="1252"/>
      <c r="E165" s="1253"/>
      <c r="F165" s="1252"/>
      <c r="G165" s="1254"/>
      <c r="H165" s="1254"/>
      <c r="I165" s="1254"/>
      <c r="J165" s="1254"/>
      <c r="K165" s="1254"/>
      <c r="L165" s="1255"/>
      <c r="M165" s="341"/>
    </row>
    <row r="166" spans="1:16" ht="21.75" customHeight="1">
      <c r="A166" s="153"/>
      <c r="B166" s="358"/>
      <c r="C166" s="858"/>
      <c r="D166" s="1252"/>
      <c r="E166" s="1253"/>
      <c r="F166" s="1252"/>
      <c r="G166" s="1254"/>
      <c r="H166" s="1254"/>
      <c r="I166" s="1254"/>
      <c r="J166" s="1254"/>
      <c r="K166" s="1254"/>
      <c r="L166" s="1255"/>
      <c r="M166" s="341"/>
    </row>
    <row r="167" spans="1:16" ht="26.25" customHeight="1">
      <c r="A167" s="153"/>
      <c r="B167" s="358"/>
      <c r="C167" s="858"/>
      <c r="D167" s="1252"/>
      <c r="E167" s="1253"/>
      <c r="F167" s="1252"/>
      <c r="G167" s="1254"/>
      <c r="H167" s="1254"/>
      <c r="I167" s="1254"/>
      <c r="J167" s="1254"/>
      <c r="K167" s="1254"/>
      <c r="L167" s="1255"/>
      <c r="M167" s="341"/>
    </row>
    <row r="168" spans="1:16" ht="20.25" customHeight="1">
      <c r="A168" s="153"/>
      <c r="B168" s="358"/>
      <c r="C168" s="858"/>
      <c r="D168" s="1252"/>
      <c r="E168" s="1253"/>
      <c r="F168" s="1252"/>
      <c r="G168" s="1254"/>
      <c r="H168" s="1254"/>
      <c r="I168" s="1254"/>
      <c r="J168" s="1254"/>
      <c r="K168" s="1254"/>
      <c r="L168" s="1255"/>
      <c r="M168" s="341"/>
    </row>
    <row r="169" spans="1:16" ht="20.25" customHeight="1">
      <c r="A169" s="153"/>
      <c r="B169" s="358"/>
      <c r="C169" s="858"/>
      <c r="D169" s="1252"/>
      <c r="E169" s="1253"/>
      <c r="F169" s="1252"/>
      <c r="G169" s="1254"/>
      <c r="H169" s="1254"/>
      <c r="I169" s="1254"/>
      <c r="J169" s="1254"/>
      <c r="K169" s="1254"/>
      <c r="L169" s="1255"/>
      <c r="M169" s="341"/>
      <c r="O169" s="390"/>
    </row>
    <row r="170" spans="1:16" ht="20.25" customHeight="1">
      <c r="A170" s="153"/>
      <c r="B170" s="358"/>
      <c r="C170" s="858"/>
      <c r="D170" s="1252"/>
      <c r="E170" s="1253"/>
      <c r="F170" s="1252"/>
      <c r="G170" s="1254"/>
      <c r="H170" s="1254"/>
      <c r="I170" s="1254"/>
      <c r="J170" s="1254"/>
      <c r="K170" s="1254"/>
      <c r="L170" s="1255"/>
      <c r="M170" s="341"/>
    </row>
    <row r="171" spans="1:16">
      <c r="A171" s="153"/>
      <c r="B171" s="358"/>
      <c r="C171" s="859"/>
      <c r="D171" s="1252"/>
      <c r="E171" s="1253"/>
      <c r="F171" s="1252"/>
      <c r="G171" s="1256"/>
      <c r="H171" s="1256"/>
      <c r="I171" s="1256"/>
      <c r="J171" s="1256"/>
      <c r="K171" s="1256"/>
      <c r="L171" s="1253"/>
      <c r="M171" s="341"/>
    </row>
    <row r="172" spans="1:16" s="304" customFormat="1" ht="3.75" customHeight="1">
      <c r="A172" s="153"/>
      <c r="B172" s="353"/>
      <c r="C172" s="354"/>
      <c r="D172" s="153"/>
      <c r="E172" s="153"/>
      <c r="F172" s="153"/>
      <c r="G172" s="153"/>
      <c r="H172" s="153"/>
      <c r="I172" s="153"/>
      <c r="J172" s="153"/>
      <c r="K172" s="153"/>
      <c r="L172" s="328"/>
      <c r="M172" s="153"/>
    </row>
    <row r="173" spans="1:16" ht="3.75" customHeight="1" thickBot="1">
      <c r="A173" s="153"/>
      <c r="B173" s="1215"/>
      <c r="C173" s="1215"/>
      <c r="D173" s="1215"/>
      <c r="E173" s="1215"/>
      <c r="F173" s="1215"/>
      <c r="G173" s="1215"/>
      <c r="H173" s="1215"/>
      <c r="I173" s="1215"/>
      <c r="J173" s="1215"/>
      <c r="K173" s="1215"/>
      <c r="L173" s="1215"/>
      <c r="M173" s="391"/>
    </row>
    <row r="174" spans="1:16" ht="12" customHeight="1" thickBot="1">
      <c r="A174" s="153"/>
      <c r="B174" s="1287" t="s">
        <v>158</v>
      </c>
      <c r="C174" s="1288"/>
      <c r="D174" s="1288"/>
      <c r="E174" s="1288"/>
      <c r="F174" s="1288"/>
      <c r="G174" s="1288"/>
      <c r="H174" s="1288"/>
      <c r="I174" s="1288"/>
      <c r="J174" s="1288"/>
      <c r="K174" s="1288"/>
      <c r="L174" s="1288"/>
      <c r="M174" s="1289"/>
    </row>
    <row r="175" spans="1:16" ht="3.75" customHeight="1" thickBot="1">
      <c r="A175" s="153"/>
      <c r="B175" s="1203"/>
      <c r="C175" s="1203"/>
      <c r="D175" s="1203"/>
      <c r="E175" s="1203"/>
      <c r="F175" s="1203"/>
      <c r="G175" s="1203"/>
      <c r="H175" s="1203"/>
      <c r="I175" s="1203"/>
      <c r="J175" s="1203"/>
      <c r="K175" s="1203"/>
      <c r="L175" s="1203"/>
      <c r="M175" s="391"/>
    </row>
    <row r="176" spans="1:16" ht="55.5" customHeight="1">
      <c r="A176" s="153"/>
      <c r="B176" s="1220" t="s">
        <v>590</v>
      </c>
      <c r="C176" s="1221"/>
      <c r="D176" s="1221"/>
      <c r="E176" s="1221"/>
      <c r="F176" s="1221"/>
      <c r="G176" s="1221"/>
      <c r="H176" s="1221"/>
      <c r="I176" s="1221"/>
      <c r="J176" s="1221"/>
      <c r="K176" s="1221"/>
      <c r="L176" s="1221"/>
      <c r="M176" s="1222"/>
    </row>
    <row r="177" spans="1:13" ht="12" customHeight="1">
      <c r="A177" s="153"/>
      <c r="B177" s="1200" t="s">
        <v>467</v>
      </c>
      <c r="C177" s="1201"/>
      <c r="D177" s="1201"/>
      <c r="E177" s="1201"/>
      <c r="F177" s="1201"/>
      <c r="G177" s="1201"/>
      <c r="H177" s="1201"/>
      <c r="I177" s="1201"/>
      <c r="J177" s="1201"/>
      <c r="K177" s="1201"/>
      <c r="L177" s="1201"/>
      <c r="M177" s="418"/>
    </row>
    <row r="178" spans="1:13" ht="9.75" customHeight="1">
      <c r="A178" s="153"/>
      <c r="B178" s="1200" t="s">
        <v>468</v>
      </c>
      <c r="C178" s="1201"/>
      <c r="D178" s="1201"/>
      <c r="E178" s="1201"/>
      <c r="F178" s="1201"/>
      <c r="G178" s="1201"/>
      <c r="H178" s="1201"/>
      <c r="I178" s="1201"/>
      <c r="J178" s="1201"/>
      <c r="K178" s="1201"/>
      <c r="L178" s="1201"/>
      <c r="M178" s="418"/>
    </row>
    <row r="179" spans="1:13" ht="12" customHeight="1">
      <c r="A179" s="153"/>
      <c r="B179" s="1200" t="s">
        <v>183</v>
      </c>
      <c r="C179" s="1201"/>
      <c r="D179" s="1201"/>
      <c r="E179" s="1201"/>
      <c r="F179" s="1201"/>
      <c r="G179" s="1201"/>
      <c r="H179" s="1201"/>
      <c r="I179" s="1201"/>
      <c r="J179" s="1201"/>
      <c r="K179" s="1201"/>
      <c r="L179" s="1201"/>
      <c r="M179" s="418"/>
    </row>
    <row r="180" spans="1:13" ht="13.5" customHeight="1">
      <c r="A180" s="153"/>
      <c r="B180" s="1200" t="s">
        <v>469</v>
      </c>
      <c r="C180" s="1201"/>
      <c r="D180" s="1201"/>
      <c r="E180" s="1201"/>
      <c r="F180" s="1201"/>
      <c r="G180" s="1201"/>
      <c r="H180" s="1201"/>
      <c r="I180" s="1201"/>
      <c r="J180" s="1201"/>
      <c r="K180" s="1201"/>
      <c r="L180" s="1201"/>
      <c r="M180" s="418"/>
    </row>
    <row r="181" spans="1:13" ht="13.5" customHeight="1">
      <c r="A181" s="153"/>
      <c r="B181" s="1200" t="s">
        <v>184</v>
      </c>
      <c r="C181" s="1201"/>
      <c r="D181" s="1201"/>
      <c r="E181" s="1201"/>
      <c r="F181" s="1201"/>
      <c r="G181" s="1201"/>
      <c r="H181" s="1201"/>
      <c r="I181" s="1201"/>
      <c r="J181" s="1201"/>
      <c r="K181" s="1201"/>
      <c r="L181" s="1201"/>
      <c r="M181" s="418"/>
    </row>
    <row r="182" spans="1:13" ht="16.5" customHeight="1">
      <c r="A182" s="153"/>
      <c r="B182" s="1200" t="s">
        <v>239</v>
      </c>
      <c r="C182" s="1201"/>
      <c r="D182" s="1201"/>
      <c r="E182" s="1201"/>
      <c r="F182" s="1201"/>
      <c r="G182" s="1201"/>
      <c r="H182" s="1201"/>
      <c r="I182" s="1201"/>
      <c r="J182" s="1201"/>
      <c r="K182" s="1201"/>
      <c r="L182" s="1201"/>
      <c r="M182" s="418"/>
    </row>
    <row r="183" spans="1:13" ht="12.75" customHeight="1">
      <c r="A183" s="153"/>
      <c r="B183" s="419">
        <f>'E S'!I47</f>
        <v>0.73079853333333333</v>
      </c>
      <c r="C183" s="1202" t="s">
        <v>588</v>
      </c>
      <c r="D183" s="1202"/>
      <c r="E183" s="1202"/>
      <c r="F183" s="1202"/>
      <c r="G183" s="1202"/>
      <c r="H183" s="1202"/>
      <c r="I183" s="1202"/>
      <c r="J183" s="1202"/>
      <c r="K183" s="1202"/>
      <c r="L183" s="1202"/>
      <c r="M183" s="420"/>
    </row>
    <row r="184" spans="1:13" ht="12.75" customHeight="1">
      <c r="A184" s="153"/>
      <c r="B184" s="419">
        <v>0.1462</v>
      </c>
      <c r="C184" s="1202" t="s">
        <v>241</v>
      </c>
      <c r="D184" s="1202"/>
      <c r="E184" s="1202"/>
      <c r="F184" s="1202"/>
      <c r="G184" s="1202"/>
      <c r="H184" s="1202"/>
      <c r="I184" s="1202"/>
      <c r="J184" s="1202"/>
      <c r="K184" s="1202"/>
      <c r="L184" s="1202"/>
      <c r="M184" s="420"/>
    </row>
    <row r="185" spans="1:13" ht="12.75" customHeight="1">
      <c r="A185" s="153"/>
      <c r="B185" s="419">
        <f>IF(G135&gt;14.25%,14.25%,G135)</f>
        <v>8.6499999999999994E-2</v>
      </c>
      <c r="C185" s="1202" t="s">
        <v>240</v>
      </c>
      <c r="D185" s="1202"/>
      <c r="E185" s="1202"/>
      <c r="F185" s="1202"/>
      <c r="G185" s="1202"/>
      <c r="H185" s="1202"/>
      <c r="I185" s="1202"/>
      <c r="J185" s="1202"/>
      <c r="K185" s="1202"/>
      <c r="L185" s="1202"/>
      <c r="M185" s="420"/>
    </row>
    <row r="186" spans="1:13" ht="27" customHeight="1">
      <c r="A186" s="153"/>
      <c r="B186" s="1226" t="s">
        <v>591</v>
      </c>
      <c r="C186" s="1227"/>
      <c r="D186" s="1227"/>
      <c r="E186" s="1227"/>
      <c r="F186" s="1227"/>
      <c r="G186" s="1227"/>
      <c r="H186" s="1227"/>
      <c r="I186" s="1227"/>
      <c r="J186" s="1227"/>
      <c r="K186" s="1227"/>
      <c r="L186" s="1227"/>
      <c r="M186" s="418"/>
    </row>
    <row r="187" spans="1:13" ht="36" customHeight="1">
      <c r="A187" s="153"/>
      <c r="B187" s="1226" t="s">
        <v>592</v>
      </c>
      <c r="C187" s="1227"/>
      <c r="D187" s="1227"/>
      <c r="E187" s="1227"/>
      <c r="F187" s="1227"/>
      <c r="G187" s="1227"/>
      <c r="H187" s="1227"/>
      <c r="I187" s="1227"/>
      <c r="J187" s="1227"/>
      <c r="K187" s="1227"/>
      <c r="L187" s="1227"/>
      <c r="M187" s="418"/>
    </row>
    <row r="188" spans="1:13" ht="36" customHeight="1">
      <c r="A188" s="153"/>
      <c r="B188" s="1226" t="s">
        <v>593</v>
      </c>
      <c r="C188" s="1227"/>
      <c r="D188" s="1227"/>
      <c r="E188" s="1227"/>
      <c r="F188" s="1227"/>
      <c r="G188" s="1227"/>
      <c r="H188" s="1227"/>
      <c r="I188" s="1227"/>
      <c r="J188" s="1227"/>
      <c r="K188" s="1227"/>
      <c r="L188" s="1227"/>
      <c r="M188" s="418"/>
    </row>
    <row r="189" spans="1:13" ht="47.25" customHeight="1">
      <c r="A189" s="153"/>
      <c r="B189" s="1200" t="s">
        <v>594</v>
      </c>
      <c r="C189" s="1201"/>
      <c r="D189" s="1201"/>
      <c r="E189" s="1201"/>
      <c r="F189" s="1201"/>
      <c r="G189" s="1201"/>
      <c r="H189" s="1201"/>
      <c r="I189" s="1201"/>
      <c r="J189" s="1201"/>
      <c r="K189" s="1201"/>
      <c r="L189" s="1201"/>
      <c r="M189" s="1223"/>
    </row>
    <row r="190" spans="1:13" ht="18.75" customHeight="1">
      <c r="A190" s="153"/>
      <c r="B190" s="1224" t="s">
        <v>560</v>
      </c>
      <c r="C190" s="1225"/>
      <c r="D190" s="1225"/>
      <c r="E190" s="1225"/>
      <c r="F190" s="1225"/>
      <c r="G190" s="1225"/>
      <c r="H190" s="1225"/>
      <c r="I190" s="1225"/>
      <c r="J190" s="1225"/>
      <c r="K190" s="1225"/>
      <c r="L190" s="1225"/>
      <c r="M190" s="418"/>
    </row>
    <row r="191" spans="1:13">
      <c r="A191" s="153"/>
      <c r="B191" s="1200" t="s">
        <v>561</v>
      </c>
      <c r="C191" s="1201"/>
      <c r="D191" s="1201"/>
      <c r="E191" s="1201"/>
      <c r="F191" s="1201"/>
      <c r="G191" s="1201"/>
      <c r="H191" s="1201"/>
      <c r="I191" s="1201"/>
      <c r="J191" s="1201"/>
      <c r="K191" s="1201"/>
      <c r="L191" s="1201"/>
      <c r="M191" s="1223"/>
    </row>
    <row r="192" spans="1:13" ht="17.25" customHeight="1" thickBot="1">
      <c r="A192" s="153"/>
      <c r="B192" s="1217">
        <f>Dados!C25</f>
        <v>0</v>
      </c>
      <c r="C192" s="1218"/>
      <c r="D192" s="1218"/>
      <c r="E192" s="1218"/>
      <c r="F192" s="1218"/>
      <c r="G192" s="1218"/>
      <c r="H192" s="1218"/>
      <c r="I192" s="1218"/>
      <c r="J192" s="1218"/>
      <c r="K192" s="1218"/>
      <c r="L192" s="1218"/>
      <c r="M192" s="1219"/>
    </row>
    <row r="193" spans="1:13" ht="17.25" customHeight="1" thickBot="1">
      <c r="A193" s="153"/>
      <c r="B193" s="353"/>
      <c r="C193" s="1216"/>
      <c r="D193" s="1216"/>
      <c r="E193" s="1216"/>
      <c r="F193" s="1216"/>
      <c r="G193" s="1216"/>
      <c r="H193" s="1216"/>
      <c r="I193" s="1216"/>
      <c r="J193" s="1216"/>
      <c r="K193" s="1216"/>
      <c r="L193" s="1216"/>
      <c r="M193" s="304"/>
    </row>
    <row r="194" spans="1:13">
      <c r="A194" s="153"/>
      <c r="B194" s="353"/>
      <c r="C194" s="1214"/>
      <c r="D194" s="1214"/>
      <c r="E194" s="417">
        <f ca="1">NOW()</f>
        <v>41206.651778935186</v>
      </c>
      <c r="F194" s="153"/>
      <c r="G194" s="153"/>
      <c r="H194" s="415"/>
      <c r="I194" s="416">
        <f>Dados!C4</f>
        <v>0</v>
      </c>
      <c r="J194" s="415"/>
      <c r="K194" s="415"/>
      <c r="L194" s="328"/>
      <c r="M194" s="148"/>
    </row>
  </sheetData>
  <sheetProtection password="CADB" sheet="1" formatCells="0" formatColumns="0" formatRows="0"/>
  <mergeCells count="265">
    <mergeCell ref="O159:P159"/>
    <mergeCell ref="O161:P161"/>
    <mergeCell ref="B141:M141"/>
    <mergeCell ref="H137:K137"/>
    <mergeCell ref="H159:J159"/>
    <mergeCell ref="J145:K145"/>
    <mergeCell ref="C146:K146"/>
    <mergeCell ref="B159:E159"/>
    <mergeCell ref="C150:L154"/>
    <mergeCell ref="C155:L155"/>
    <mergeCell ref="C156:K156"/>
    <mergeCell ref="B148:M148"/>
    <mergeCell ref="O163:P163"/>
    <mergeCell ref="J61:K61"/>
    <mergeCell ref="C63:K63"/>
    <mergeCell ref="C138:F138"/>
    <mergeCell ref="C126:F126"/>
    <mergeCell ref="H127:K127"/>
    <mergeCell ref="C135:F135"/>
    <mergeCell ref="J144:K144"/>
    <mergeCell ref="G112:K112"/>
    <mergeCell ref="C111:F111"/>
    <mergeCell ref="C81:F81"/>
    <mergeCell ref="A123:M123"/>
    <mergeCell ref="G114:K114"/>
    <mergeCell ref="C92:F92"/>
    <mergeCell ref="H92:K92"/>
    <mergeCell ref="C107:F107"/>
    <mergeCell ref="C110:F110"/>
    <mergeCell ref="C91:F91"/>
    <mergeCell ref="H91:K91"/>
    <mergeCell ref="C120:K120"/>
    <mergeCell ref="G111:K111"/>
    <mergeCell ref="C106:F106"/>
    <mergeCell ref="G105:K105"/>
    <mergeCell ref="C80:F80"/>
    <mergeCell ref="J24:K24"/>
    <mergeCell ref="J28:K28"/>
    <mergeCell ref="J25:K25"/>
    <mergeCell ref="J26:K26"/>
    <mergeCell ref="J50:K50"/>
    <mergeCell ref="J53:K53"/>
    <mergeCell ref="C34:E34"/>
    <mergeCell ref="J30:K30"/>
    <mergeCell ref="J31:K31"/>
    <mergeCell ref="J32:K32"/>
    <mergeCell ref="C49:E49"/>
    <mergeCell ref="C37:E37"/>
    <mergeCell ref="C40:E40"/>
    <mergeCell ref="C42:E42"/>
    <mergeCell ref="C30:E30"/>
    <mergeCell ref="C31:E31"/>
    <mergeCell ref="C32:E32"/>
    <mergeCell ref="C33:E33"/>
    <mergeCell ref="C47:E47"/>
    <mergeCell ref="C48:E48"/>
    <mergeCell ref="C27:E27"/>
    <mergeCell ref="C28:E28"/>
    <mergeCell ref="C29:E29"/>
    <mergeCell ref="J55:K55"/>
    <mergeCell ref="J58:K58"/>
    <mergeCell ref="C58:E58"/>
    <mergeCell ref="J40:K40"/>
    <mergeCell ref="J41:K41"/>
    <mergeCell ref="C41:E41"/>
    <mergeCell ref="C50:E50"/>
    <mergeCell ref="J29:K29"/>
    <mergeCell ref="C16:E16"/>
    <mergeCell ref="C17:E17"/>
    <mergeCell ref="C18:E18"/>
    <mergeCell ref="C23:E23"/>
    <mergeCell ref="C19:E19"/>
    <mergeCell ref="C20:E20"/>
    <mergeCell ref="C21:E21"/>
    <mergeCell ref="C22:E22"/>
    <mergeCell ref="C98:K98"/>
    <mergeCell ref="C89:F89"/>
    <mergeCell ref="H89:L89"/>
    <mergeCell ref="H93:K93"/>
    <mergeCell ref="H94:L94"/>
    <mergeCell ref="C90:F90"/>
    <mergeCell ref="C95:F95"/>
    <mergeCell ref="H95:K95"/>
    <mergeCell ref="C94:F94"/>
    <mergeCell ref="J37:K37"/>
    <mergeCell ref="C43:E43"/>
    <mergeCell ref="C39:E39"/>
    <mergeCell ref="J39:K39"/>
    <mergeCell ref="C24:E24"/>
    <mergeCell ref="C25:E25"/>
    <mergeCell ref="C26:E26"/>
    <mergeCell ref="C194:D194"/>
    <mergeCell ref="B182:L182"/>
    <mergeCell ref="B178:L178"/>
    <mergeCell ref="B181:L181"/>
    <mergeCell ref="B187:L187"/>
    <mergeCell ref="B180:L180"/>
    <mergeCell ref="C183:L183"/>
    <mergeCell ref="C184:L184"/>
    <mergeCell ref="B186:L186"/>
    <mergeCell ref="B176:M176"/>
    <mergeCell ref="F170:L170"/>
    <mergeCell ref="F171:L171"/>
    <mergeCell ref="B174:M174"/>
    <mergeCell ref="B173:L173"/>
    <mergeCell ref="D169:E169"/>
    <mergeCell ref="B177:L177"/>
    <mergeCell ref="B179:L179"/>
    <mergeCell ref="C193:L193"/>
    <mergeCell ref="B192:M192"/>
    <mergeCell ref="B189:M189"/>
    <mergeCell ref="C185:L185"/>
    <mergeCell ref="B188:L188"/>
    <mergeCell ref="B191:M191"/>
    <mergeCell ref="B190:L190"/>
    <mergeCell ref="J42:K42"/>
    <mergeCell ref="C38:E38"/>
    <mergeCell ref="J36:K36"/>
    <mergeCell ref="C75:F75"/>
    <mergeCell ref="H75:K75"/>
    <mergeCell ref="H72:K72"/>
    <mergeCell ref="D171:E171"/>
    <mergeCell ref="F169:L169"/>
    <mergeCell ref="B175:L175"/>
    <mergeCell ref="H80:K80"/>
    <mergeCell ref="G103:K103"/>
    <mergeCell ref="G104:K104"/>
    <mergeCell ref="C105:F105"/>
    <mergeCell ref="C96:F96"/>
    <mergeCell ref="H96:K96"/>
    <mergeCell ref="C118:K118"/>
    <mergeCell ref="C117:F117"/>
    <mergeCell ref="C114:F114"/>
    <mergeCell ref="G115:K115"/>
    <mergeCell ref="C115:F115"/>
    <mergeCell ref="G106:K106"/>
    <mergeCell ref="C104:F104"/>
    <mergeCell ref="H85:K85"/>
    <mergeCell ref="C97:F97"/>
    <mergeCell ref="C103:F103"/>
    <mergeCell ref="H84:K84"/>
    <mergeCell ref="B100:M100"/>
    <mergeCell ref="C102:F102"/>
    <mergeCell ref="C76:F76"/>
    <mergeCell ref="C46:E46"/>
    <mergeCell ref="J47:K47"/>
    <mergeCell ref="C52:E52"/>
    <mergeCell ref="C87:F87"/>
    <mergeCell ref="H87:K87"/>
    <mergeCell ref="C88:F88"/>
    <mergeCell ref="H88:K88"/>
    <mergeCell ref="G107:K107"/>
    <mergeCell ref="G110:K110"/>
    <mergeCell ref="C109:F109"/>
    <mergeCell ref="C108:F108"/>
    <mergeCell ref="G108:K108"/>
    <mergeCell ref="D164:E164"/>
    <mergeCell ref="K159:M159"/>
    <mergeCell ref="B161:M161"/>
    <mergeCell ref="M131:M133"/>
    <mergeCell ref="H131:K131"/>
    <mergeCell ref="C139:K139"/>
    <mergeCell ref="C144:E144"/>
    <mergeCell ref="G109:K109"/>
    <mergeCell ref="C130:L130"/>
    <mergeCell ref="G117:K117"/>
    <mergeCell ref="B129:M129"/>
    <mergeCell ref="B124:M124"/>
    <mergeCell ref="B122:M122"/>
    <mergeCell ref="B126:B127"/>
    <mergeCell ref="M126:M127"/>
    <mergeCell ref="H126:K126"/>
    <mergeCell ref="C127:F127"/>
    <mergeCell ref="F163:L163"/>
    <mergeCell ref="D163:E163"/>
    <mergeCell ref="C145:E145"/>
    <mergeCell ref="J33:K33"/>
    <mergeCell ref="J49:K49"/>
    <mergeCell ref="J59:K59"/>
    <mergeCell ref="J51:K51"/>
    <mergeCell ref="J56:K56"/>
    <mergeCell ref="J54:K54"/>
    <mergeCell ref="J22:K22"/>
    <mergeCell ref="B67:M67"/>
    <mergeCell ref="C45:E45"/>
    <mergeCell ref="C35:E35"/>
    <mergeCell ref="C36:E36"/>
    <mergeCell ref="J65:K65"/>
    <mergeCell ref="J52:K52"/>
    <mergeCell ref="J27:K27"/>
    <mergeCell ref="C51:E51"/>
    <mergeCell ref="J46:K46"/>
    <mergeCell ref="C44:E44"/>
    <mergeCell ref="C53:E53"/>
    <mergeCell ref="C54:E54"/>
    <mergeCell ref="C56:E56"/>
    <mergeCell ref="C59:E59"/>
    <mergeCell ref="C55:E55"/>
    <mergeCell ref="J34:K34"/>
    <mergeCell ref="J35:K35"/>
    <mergeCell ref="D166:E166"/>
    <mergeCell ref="F166:L166"/>
    <mergeCell ref="D167:E167"/>
    <mergeCell ref="D168:E168"/>
    <mergeCell ref="F2:M2"/>
    <mergeCell ref="B11:M11"/>
    <mergeCell ref="J15:K15"/>
    <mergeCell ref="B13:M13"/>
    <mergeCell ref="D5:L5"/>
    <mergeCell ref="B8:C8"/>
    <mergeCell ref="C15:E15"/>
    <mergeCell ref="J16:K16"/>
    <mergeCell ref="J23:K23"/>
    <mergeCell ref="J21:K21"/>
    <mergeCell ref="J18:K18"/>
    <mergeCell ref="J19:K19"/>
    <mergeCell ref="J17:K17"/>
    <mergeCell ref="J20:K20"/>
    <mergeCell ref="H73:K73"/>
    <mergeCell ref="J43:K43"/>
    <mergeCell ref="J44:K44"/>
    <mergeCell ref="J48:K48"/>
    <mergeCell ref="J45:K45"/>
    <mergeCell ref="J38:K38"/>
    <mergeCell ref="J57:K57"/>
    <mergeCell ref="C74:F74"/>
    <mergeCell ref="H74:K74"/>
    <mergeCell ref="C73:F73"/>
    <mergeCell ref="C72:F72"/>
    <mergeCell ref="C69:F69"/>
    <mergeCell ref="C57:E57"/>
    <mergeCell ref="C83:F83"/>
    <mergeCell ref="H76:K76"/>
    <mergeCell ref="H83:K83"/>
    <mergeCell ref="C82:F82"/>
    <mergeCell ref="H82:K82"/>
    <mergeCell ref="H77:K77"/>
    <mergeCell ref="C78:F78"/>
    <mergeCell ref="H78:K78"/>
    <mergeCell ref="C79:F79"/>
    <mergeCell ref="H79:L79"/>
    <mergeCell ref="O65:P65"/>
    <mergeCell ref="O69:P69"/>
    <mergeCell ref="D170:E170"/>
    <mergeCell ref="H69:L69"/>
    <mergeCell ref="C70:F70"/>
    <mergeCell ref="H70:K70"/>
    <mergeCell ref="C71:F71"/>
    <mergeCell ref="H71:K71"/>
    <mergeCell ref="F164:L164"/>
    <mergeCell ref="C77:F77"/>
    <mergeCell ref="C84:F84"/>
    <mergeCell ref="C116:F116"/>
    <mergeCell ref="G116:K116"/>
    <mergeCell ref="C112:F112"/>
    <mergeCell ref="C113:F113"/>
    <mergeCell ref="C85:F85"/>
    <mergeCell ref="C93:F93"/>
    <mergeCell ref="C86:F86"/>
    <mergeCell ref="G102:K102"/>
    <mergeCell ref="H97:K97"/>
    <mergeCell ref="F168:L168"/>
    <mergeCell ref="F165:L165"/>
    <mergeCell ref="F167:L167"/>
    <mergeCell ref="D165:E165"/>
  </mergeCells>
  <phoneticPr fontId="0" type="noConversion"/>
  <pageMargins left="0.53" right="0.19685039370078741" top="0.44" bottom="0.44" header="0.21" footer="0.21"/>
  <pageSetup paperSize="9" scale="75" orientation="portrait" blackAndWhite="1" horizontalDpi="300" verticalDpi="300" r:id="rId1"/>
  <headerFooter alignWithMargins="0">
    <oddFooter>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</sheetPr>
  <dimension ref="A1:P47"/>
  <sheetViews>
    <sheetView topLeftCell="R1" workbookViewId="0">
      <selection activeCell="S4" sqref="S4"/>
    </sheetView>
  </sheetViews>
  <sheetFormatPr defaultRowHeight="12.75"/>
  <cols>
    <col min="1" max="1" width="4.7109375" style="896" hidden="1" customWidth="1"/>
    <col min="2" max="2" width="2" style="896" hidden="1" customWidth="1"/>
    <col min="3" max="3" width="35.5703125" style="896" hidden="1" customWidth="1"/>
    <col min="4" max="4" width="1.5703125" style="896" hidden="1" customWidth="1"/>
    <col min="5" max="5" width="17.5703125" style="894" hidden="1" customWidth="1"/>
    <col min="6" max="6" width="1.7109375" style="894" hidden="1" customWidth="1"/>
    <col min="7" max="7" width="10.85546875" style="894" hidden="1" customWidth="1"/>
    <col min="8" max="8" width="2.28515625" style="894" hidden="1" customWidth="1"/>
    <col min="9" max="9" width="2.28515625" style="896" hidden="1" customWidth="1"/>
    <col min="10" max="10" width="2.42578125" style="896" hidden="1" customWidth="1"/>
    <col min="11" max="11" width="34.7109375" style="896" hidden="1" customWidth="1"/>
    <col min="12" max="12" width="1.28515625" style="896" hidden="1" customWidth="1"/>
    <col min="13" max="13" width="17.28515625" style="896" hidden="1" customWidth="1"/>
    <col min="14" max="14" width="1.42578125" style="896" hidden="1" customWidth="1"/>
    <col min="15" max="15" width="0" style="896" hidden="1" customWidth="1"/>
    <col min="16" max="16" width="1.7109375" style="896" hidden="1" customWidth="1"/>
    <col min="17" max="17" width="0" style="896" hidden="1" customWidth="1"/>
    <col min="18" max="16384" width="9.140625" style="896"/>
  </cols>
  <sheetData>
    <row r="1" spans="1:16">
      <c r="A1" s="895"/>
      <c r="B1" s="895"/>
      <c r="C1" s="1294" t="s">
        <v>464</v>
      </c>
      <c r="D1" s="1294"/>
      <c r="E1" s="1294"/>
      <c r="F1" s="1294"/>
      <c r="G1" s="1294"/>
      <c r="H1" s="1294"/>
      <c r="I1" s="1294"/>
      <c r="J1" s="1294"/>
      <c r="K1" s="1294"/>
      <c r="L1" s="1294"/>
      <c r="M1" s="1294"/>
      <c r="N1" s="1294"/>
      <c r="O1" s="1294"/>
    </row>
    <row r="2" spans="1:16">
      <c r="A2" s="895"/>
      <c r="B2" s="895"/>
      <c r="C2" s="895"/>
      <c r="D2" s="895"/>
      <c r="E2" s="886"/>
      <c r="F2" s="886"/>
      <c r="G2" s="886"/>
      <c r="H2" s="886"/>
      <c r="I2" s="895"/>
      <c r="J2" s="895"/>
      <c r="K2" s="895"/>
      <c r="L2" s="895"/>
      <c r="M2" s="895"/>
      <c r="N2" s="895"/>
      <c r="O2" s="895"/>
    </row>
    <row r="3" spans="1:16">
      <c r="B3" s="895"/>
      <c r="C3" s="895"/>
      <c r="D3" s="895"/>
      <c r="E3" s="895"/>
      <c r="F3" s="895"/>
      <c r="G3" s="895"/>
      <c r="H3" s="895"/>
      <c r="J3" s="895"/>
      <c r="K3" s="895"/>
      <c r="L3" s="895"/>
      <c r="M3" s="895"/>
      <c r="N3" s="895"/>
      <c r="O3" s="895"/>
      <c r="P3" s="895"/>
    </row>
    <row r="4" spans="1:16" ht="30" customHeight="1">
      <c r="B4" s="895"/>
      <c r="C4" s="1293" t="s">
        <v>439</v>
      </c>
      <c r="D4" s="1293"/>
      <c r="E4" s="1293"/>
      <c r="F4" s="1293"/>
      <c r="G4" s="1293"/>
      <c r="H4" s="897"/>
      <c r="J4" s="895"/>
      <c r="K4" s="1293" t="s">
        <v>440</v>
      </c>
      <c r="L4" s="1293"/>
      <c r="M4" s="1293"/>
      <c r="N4" s="1293"/>
      <c r="O4" s="1293"/>
      <c r="P4" s="897"/>
    </row>
    <row r="5" spans="1:16" ht="21.75" customHeight="1">
      <c r="B5" s="895"/>
      <c r="C5" s="897" t="s">
        <v>412</v>
      </c>
      <c r="D5" s="891"/>
      <c r="E5" s="897">
        <f>Resumo!F75</f>
        <v>0</v>
      </c>
      <c r="F5" s="892"/>
      <c r="G5" s="898" t="s">
        <v>118</v>
      </c>
      <c r="H5" s="886"/>
      <c r="J5" s="895"/>
      <c r="K5" s="897" t="s">
        <v>412</v>
      </c>
      <c r="L5" s="891"/>
      <c r="M5" s="897">
        <f>Resumo!F75</f>
        <v>0</v>
      </c>
      <c r="N5" s="892"/>
      <c r="O5" s="898" t="s">
        <v>118</v>
      </c>
      <c r="P5" s="886"/>
    </row>
    <row r="6" spans="1:16" ht="21.75" customHeight="1">
      <c r="B6" s="895"/>
      <c r="C6" s="897" t="s">
        <v>413</v>
      </c>
      <c r="D6" s="893"/>
      <c r="E6" s="897">
        <f t="shared" ref="E6:E11" si="0">-$E$5*G6</f>
        <v>0</v>
      </c>
      <c r="G6" s="899">
        <f>IF(Consolidado_Geral!G134&gt;0,0,4.8%)</f>
        <v>4.8000000000000001E-2</v>
      </c>
      <c r="H6" s="886"/>
      <c r="J6" s="895"/>
      <c r="K6" s="897" t="s">
        <v>414</v>
      </c>
      <c r="L6" s="893"/>
      <c r="M6" s="897"/>
      <c r="N6" s="894"/>
      <c r="O6" s="898"/>
      <c r="P6" s="886"/>
    </row>
    <row r="7" spans="1:16" ht="21.75" customHeight="1">
      <c r="B7" s="895"/>
      <c r="C7" s="897" t="s">
        <v>415</v>
      </c>
      <c r="D7" s="893"/>
      <c r="E7" s="897">
        <f t="shared" si="0"/>
        <v>0</v>
      </c>
      <c r="F7" s="892"/>
      <c r="G7" s="899">
        <f>MC!D11</f>
        <v>0.05</v>
      </c>
      <c r="H7" s="886"/>
      <c r="J7" s="895"/>
      <c r="K7" s="897" t="s">
        <v>416</v>
      </c>
      <c r="L7" s="893"/>
      <c r="M7" s="897"/>
      <c r="N7" s="892"/>
      <c r="O7" s="898"/>
      <c r="P7" s="886"/>
    </row>
    <row r="8" spans="1:16" ht="21.75" customHeight="1">
      <c r="B8" s="895"/>
      <c r="C8" s="897" t="s">
        <v>417</v>
      </c>
      <c r="D8" s="893"/>
      <c r="E8" s="897">
        <f t="shared" si="0"/>
        <v>0</v>
      </c>
      <c r="G8" s="898">
        <f>IF(Consolidado_Geral!G134&gt;0,0,3%)</f>
        <v>0.03</v>
      </c>
      <c r="H8" s="898"/>
      <c r="J8" s="895"/>
      <c r="K8" s="897" t="s">
        <v>418</v>
      </c>
      <c r="L8" s="893"/>
      <c r="M8" s="897">
        <f>-M5*O8</f>
        <v>0</v>
      </c>
      <c r="N8" s="894"/>
      <c r="O8" s="898">
        <f>IF(O11&gt;0,0,MC!D12)</f>
        <v>6.4999999999999997E-3</v>
      </c>
      <c r="P8" s="898"/>
    </row>
    <row r="9" spans="1:16" ht="21.75" customHeight="1">
      <c r="B9" s="895"/>
      <c r="C9" s="897" t="s">
        <v>419</v>
      </c>
      <c r="D9" s="893"/>
      <c r="E9" s="897">
        <f t="shared" si="0"/>
        <v>0</v>
      </c>
      <c r="F9" s="892"/>
      <c r="G9" s="898">
        <f>IF(Consolidado_Geral!G134&gt;0,0,0.65%)</f>
        <v>6.5000000000000006E-3</v>
      </c>
      <c r="H9" s="900"/>
      <c r="J9" s="895"/>
      <c r="K9" s="897" t="s">
        <v>420</v>
      </c>
      <c r="L9" s="893"/>
      <c r="M9" s="897">
        <f>-M5*O9</f>
        <v>0</v>
      </c>
      <c r="N9" s="892"/>
      <c r="O9" s="898">
        <f>IF(O11&gt;0,0,MC!D13)</f>
        <v>0.03</v>
      </c>
      <c r="P9" s="900"/>
    </row>
    <row r="10" spans="1:16" ht="21.75" customHeight="1">
      <c r="B10" s="895"/>
      <c r="C10" s="897" t="s">
        <v>421</v>
      </c>
      <c r="D10" s="893"/>
      <c r="E10" s="897">
        <f t="shared" si="0"/>
        <v>0</v>
      </c>
      <c r="G10" s="898">
        <f>IF(Consolidado_Geral!G134&gt;0,0,1%)</f>
        <v>0.01</v>
      </c>
      <c r="H10" s="898"/>
      <c r="J10" s="895"/>
      <c r="K10" s="897" t="s">
        <v>422</v>
      </c>
      <c r="L10" s="893"/>
      <c r="M10" s="897">
        <f>-M5*O10</f>
        <v>0</v>
      </c>
      <c r="N10" s="894"/>
      <c r="O10" s="898">
        <f>IF(O11&gt;0,0,MC!D11)</f>
        <v>0.05</v>
      </c>
      <c r="P10" s="898"/>
    </row>
    <row r="11" spans="1:16" ht="21.75" customHeight="1">
      <c r="B11" s="895"/>
      <c r="C11" s="897" t="s">
        <v>423</v>
      </c>
      <c r="D11" s="893"/>
      <c r="E11" s="897">
        <f t="shared" si="0"/>
        <v>0</v>
      </c>
      <c r="G11" s="898">
        <v>0.11</v>
      </c>
      <c r="H11" s="898"/>
      <c r="J11" s="895"/>
      <c r="K11" s="897" t="s">
        <v>563</v>
      </c>
      <c r="L11" s="893"/>
      <c r="M11" s="897">
        <f>-M5*O11</f>
        <v>0</v>
      </c>
      <c r="N11" s="894"/>
      <c r="O11" s="898">
        <f>Consolidado_Geral!G134</f>
        <v>0</v>
      </c>
      <c r="P11" s="898"/>
    </row>
    <row r="12" spans="1:16" ht="21.75" customHeight="1">
      <c r="B12" s="895"/>
      <c r="C12" s="897" t="s">
        <v>425</v>
      </c>
      <c r="D12" s="893"/>
      <c r="E12" s="897">
        <f>SUM(E6:E11)</f>
        <v>0</v>
      </c>
      <c r="G12" s="898"/>
      <c r="H12" s="898"/>
      <c r="J12" s="895"/>
      <c r="K12" s="897" t="s">
        <v>424</v>
      </c>
      <c r="L12" s="893"/>
      <c r="M12" s="897">
        <f>SUM(M5:M11)</f>
        <v>0</v>
      </c>
      <c r="N12" s="894"/>
      <c r="O12" s="898"/>
      <c r="P12" s="898"/>
    </row>
    <row r="13" spans="1:16" ht="21.75" customHeight="1">
      <c r="B13" s="895"/>
      <c r="C13" s="897" t="s">
        <v>427</v>
      </c>
      <c r="D13" s="893"/>
      <c r="E13" s="897">
        <f>SUM(E5+E12)</f>
        <v>0</v>
      </c>
      <c r="G13" s="898"/>
      <c r="H13" s="886"/>
      <c r="J13" s="895"/>
      <c r="K13" s="897" t="s">
        <v>426</v>
      </c>
      <c r="L13" s="893"/>
      <c r="M13" s="897">
        <f>SUM(E11,E16,E17,E19)</f>
        <v>0</v>
      </c>
      <c r="N13" s="894"/>
      <c r="O13" s="898"/>
      <c r="P13" s="898"/>
    </row>
    <row r="14" spans="1:16" ht="21.75" hidden="1" customHeight="1">
      <c r="B14" s="895"/>
      <c r="C14" s="897"/>
      <c r="D14" s="893"/>
      <c r="E14" s="897"/>
      <c r="G14" s="898"/>
      <c r="H14" s="898"/>
      <c r="J14" s="895"/>
      <c r="K14" s="897"/>
      <c r="L14" s="893"/>
      <c r="M14" s="897"/>
      <c r="N14" s="894"/>
      <c r="O14" s="898"/>
      <c r="P14" s="886"/>
    </row>
    <row r="15" spans="1:16" ht="21.75" customHeight="1">
      <c r="B15" s="895"/>
      <c r="C15" s="897" t="s">
        <v>438</v>
      </c>
      <c r="D15" s="893"/>
      <c r="E15" s="897">
        <f>SUM(E13:E14)</f>
        <v>0</v>
      </c>
      <c r="G15" s="898"/>
      <c r="H15" s="886"/>
      <c r="J15" s="895"/>
      <c r="K15" s="897" t="s">
        <v>428</v>
      </c>
      <c r="L15" s="893"/>
      <c r="M15" s="897">
        <f>SUM(M12:M13)</f>
        <v>0</v>
      </c>
      <c r="N15" s="894"/>
      <c r="O15" s="898"/>
      <c r="P15" s="898"/>
    </row>
    <row r="16" spans="1:16" ht="21.75" customHeight="1">
      <c r="B16" s="895"/>
      <c r="C16" s="897" t="s">
        <v>564</v>
      </c>
      <c r="D16" s="893"/>
      <c r="E16" s="897">
        <f>-(Resumo!P19+Resumo!P29+Resumo!P31+Resumo!P33+Resumo!P35+Resumo!P37+Resumo!P39+Resumo!P41+Resumo!P43)</f>
        <v>0</v>
      </c>
      <c r="G16" s="898"/>
      <c r="H16" s="898"/>
      <c r="J16" s="895"/>
      <c r="K16" s="897" t="s">
        <v>429</v>
      </c>
      <c r="L16" s="893"/>
      <c r="M16" s="897">
        <f>E18</f>
        <v>0</v>
      </c>
      <c r="N16" s="894"/>
      <c r="O16" s="898"/>
      <c r="P16" s="886"/>
    </row>
    <row r="17" spans="1:16" ht="21.75" customHeight="1">
      <c r="B17" s="895"/>
      <c r="C17" s="897" t="s">
        <v>432</v>
      </c>
      <c r="D17" s="893"/>
      <c r="E17" s="897">
        <f>-(Consolidado_Geral!L78+E11)</f>
        <v>0</v>
      </c>
      <c r="G17" s="898"/>
      <c r="H17" s="886"/>
      <c r="J17" s="895"/>
      <c r="K17" s="897" t="s">
        <v>431</v>
      </c>
      <c r="L17" s="893"/>
      <c r="M17" s="897">
        <f>SUM(M14:M16)</f>
        <v>0</v>
      </c>
      <c r="N17" s="894"/>
      <c r="O17" s="898"/>
      <c r="P17" s="898"/>
    </row>
    <row r="18" spans="1:16" ht="21.75" customHeight="1">
      <c r="B18" s="895"/>
      <c r="C18" s="897" t="s">
        <v>429</v>
      </c>
      <c r="D18" s="893"/>
      <c r="E18" s="897">
        <f>-(Consolidado_Geral!L120*G18)</f>
        <v>0</v>
      </c>
      <c r="G18" s="898">
        <v>0.06</v>
      </c>
      <c r="H18" s="886"/>
      <c r="J18" s="895"/>
      <c r="K18" s="897" t="s">
        <v>433</v>
      </c>
      <c r="L18" s="893"/>
      <c r="M18" s="897">
        <f>-M17*O18</f>
        <v>0</v>
      </c>
      <c r="N18" s="894"/>
      <c r="O18" s="898">
        <f>IF(O11&gt;0,0,15%)</f>
        <v>0.15</v>
      </c>
      <c r="P18" s="886"/>
    </row>
    <row r="19" spans="1:16" ht="21.75" customHeight="1">
      <c r="B19" s="895"/>
      <c r="C19" s="897" t="s">
        <v>565</v>
      </c>
      <c r="D19" s="893"/>
      <c r="E19" s="897">
        <f>-SUM(Resumo!P45+Resumo!P47+Resumo!P49+Resumo!P51+Resumo!P53+Resumo!P55+Resumo!P57)</f>
        <v>0</v>
      </c>
      <c r="G19" s="898"/>
      <c r="H19" s="886"/>
      <c r="J19" s="895"/>
      <c r="K19" s="897" t="s">
        <v>434</v>
      </c>
      <c r="L19" s="893"/>
      <c r="M19" s="897">
        <f>-IF(M17&gt;20000, (M17-20000)*O19,0)</f>
        <v>0</v>
      </c>
      <c r="N19" s="894"/>
      <c r="O19" s="898">
        <f>IF(O11&gt;0,0,10%)</f>
        <v>0.1</v>
      </c>
      <c r="P19" s="886"/>
    </row>
    <row r="20" spans="1:16" ht="21.75" customHeight="1">
      <c r="B20" s="895"/>
      <c r="C20" s="897" t="s">
        <v>436</v>
      </c>
      <c r="D20" s="893"/>
      <c r="E20" s="897">
        <f>SUM(E15:E19)</f>
        <v>0</v>
      </c>
      <c r="G20" s="898">
        <f>IF(E20&gt;0,E20/E5,0)</f>
        <v>0</v>
      </c>
      <c r="H20" s="886"/>
      <c r="J20" s="895"/>
      <c r="K20" s="897" t="s">
        <v>435</v>
      </c>
      <c r="L20" s="893"/>
      <c r="M20" s="897">
        <f>-M17*O20</f>
        <v>0</v>
      </c>
      <c r="N20" s="894"/>
      <c r="O20" s="898">
        <f>IF(O11&gt;0,0,9%)</f>
        <v>0.09</v>
      </c>
      <c r="P20" s="886"/>
    </row>
    <row r="21" spans="1:16">
      <c r="B21" s="895"/>
      <c r="C21" s="895"/>
      <c r="D21" s="895"/>
      <c r="E21" s="886"/>
      <c r="F21" s="886"/>
      <c r="G21" s="886"/>
      <c r="H21" s="886"/>
      <c r="J21" s="895"/>
      <c r="K21" s="897" t="s">
        <v>437</v>
      </c>
      <c r="L21" s="893"/>
      <c r="M21" s="897">
        <f>SUM(M17:M20)</f>
        <v>0</v>
      </c>
      <c r="N21" s="894"/>
      <c r="O21" s="898">
        <f>IF(M21&gt;0,M21/M5,0)</f>
        <v>0</v>
      </c>
      <c r="P21" s="886"/>
    </row>
    <row r="22" spans="1:16">
      <c r="J22" s="895"/>
      <c r="K22" s="895"/>
      <c r="L22" s="895"/>
      <c r="M22" s="886"/>
      <c r="N22" s="886"/>
      <c r="O22" s="886"/>
      <c r="P22" s="901"/>
    </row>
    <row r="26" spans="1:16">
      <c r="A26" s="895"/>
      <c r="B26" s="895"/>
      <c r="C26" s="1294" t="s">
        <v>490</v>
      </c>
      <c r="D26" s="1294"/>
      <c r="E26" s="1294"/>
      <c r="F26" s="1294"/>
      <c r="G26" s="1294"/>
      <c r="H26" s="1294"/>
      <c r="I26" s="1294"/>
      <c r="J26" s="1294"/>
      <c r="K26" s="1294"/>
      <c r="L26" s="1294"/>
      <c r="M26" s="1294"/>
      <c r="N26" s="1294"/>
      <c r="O26" s="1294"/>
    </row>
    <row r="27" spans="1:16">
      <c r="A27" s="895"/>
      <c r="B27" s="895"/>
      <c r="C27" s="895"/>
      <c r="D27" s="895"/>
      <c r="E27" s="886"/>
      <c r="F27" s="886"/>
      <c r="G27" s="886"/>
      <c r="H27" s="886"/>
      <c r="I27" s="895"/>
      <c r="J27" s="895"/>
      <c r="K27" s="895"/>
      <c r="L27" s="895"/>
      <c r="M27" s="895"/>
      <c r="N27" s="895"/>
      <c r="O27" s="895"/>
    </row>
    <row r="28" spans="1:16">
      <c r="B28" s="895"/>
      <c r="C28" s="895"/>
      <c r="D28" s="895"/>
      <c r="E28" s="895"/>
      <c r="F28" s="895"/>
      <c r="G28" s="895"/>
      <c r="H28" s="895"/>
      <c r="J28" s="895"/>
      <c r="K28" s="895"/>
      <c r="L28" s="895"/>
      <c r="M28" s="895"/>
      <c r="N28" s="895"/>
      <c r="O28" s="895"/>
      <c r="P28" s="895"/>
    </row>
    <row r="29" spans="1:16" ht="30" customHeight="1">
      <c r="B29" s="895"/>
      <c r="C29" s="1293" t="s">
        <v>492</v>
      </c>
      <c r="D29" s="1293"/>
      <c r="E29" s="1293"/>
      <c r="F29" s="1293"/>
      <c r="G29" s="1293"/>
      <c r="H29" s="897"/>
      <c r="J29" s="895"/>
      <c r="K29" s="1293" t="s">
        <v>493</v>
      </c>
      <c r="L29" s="1293"/>
      <c r="M29" s="1293"/>
      <c r="N29" s="1293"/>
      <c r="O29" s="1293"/>
      <c r="P29" s="897"/>
    </row>
    <row r="30" spans="1:16" ht="21.75" customHeight="1">
      <c r="B30" s="895"/>
      <c r="C30" s="897" t="s">
        <v>412</v>
      </c>
      <c r="D30" s="891"/>
      <c r="E30" s="897">
        <f>E5*12</f>
        <v>0</v>
      </c>
      <c r="F30" s="892"/>
      <c r="G30" s="898" t="s">
        <v>118</v>
      </c>
      <c r="H30" s="886"/>
      <c r="J30" s="895"/>
      <c r="K30" s="897" t="s">
        <v>412</v>
      </c>
      <c r="L30" s="891"/>
      <c r="M30" s="897">
        <f>E30</f>
        <v>0</v>
      </c>
      <c r="N30" s="892"/>
      <c r="O30" s="898" t="s">
        <v>118</v>
      </c>
      <c r="P30" s="886"/>
    </row>
    <row r="31" spans="1:16" ht="21.75" customHeight="1">
      <c r="B31" s="895"/>
      <c r="C31" s="897" t="s">
        <v>413</v>
      </c>
      <c r="D31" s="893"/>
      <c r="E31" s="897">
        <f t="shared" ref="E31:E36" si="1">-$E$30*G31</f>
        <v>0</v>
      </c>
      <c r="G31" s="898">
        <f t="shared" ref="G31:G36" si="2">G6</f>
        <v>4.8000000000000001E-2</v>
      </c>
      <c r="H31" s="886"/>
      <c r="J31" s="895"/>
      <c r="K31" s="897" t="s">
        <v>414</v>
      </c>
      <c r="L31" s="893"/>
      <c r="M31" s="897"/>
      <c r="N31" s="894"/>
      <c r="O31" s="898"/>
      <c r="P31" s="886"/>
    </row>
    <row r="32" spans="1:16" ht="21.75" customHeight="1">
      <c r="B32" s="895"/>
      <c r="C32" s="897" t="s">
        <v>415</v>
      </c>
      <c r="D32" s="893"/>
      <c r="E32" s="897">
        <f t="shared" si="1"/>
        <v>0</v>
      </c>
      <c r="F32" s="892"/>
      <c r="G32" s="898">
        <f t="shared" si="2"/>
        <v>0.05</v>
      </c>
      <c r="H32" s="886"/>
      <c r="J32" s="895"/>
      <c r="K32" s="897" t="s">
        <v>416</v>
      </c>
      <c r="L32" s="893"/>
      <c r="M32" s="897"/>
      <c r="N32" s="892"/>
      <c r="O32" s="898"/>
      <c r="P32" s="886"/>
    </row>
    <row r="33" spans="2:16" ht="21.75" customHeight="1">
      <c r="B33" s="895"/>
      <c r="C33" s="897" t="s">
        <v>417</v>
      </c>
      <c r="D33" s="893"/>
      <c r="E33" s="897">
        <f t="shared" si="1"/>
        <v>0</v>
      </c>
      <c r="G33" s="898">
        <f t="shared" si="2"/>
        <v>0.03</v>
      </c>
      <c r="H33" s="898"/>
      <c r="J33" s="895"/>
      <c r="K33" s="897" t="s">
        <v>418</v>
      </c>
      <c r="L33" s="893"/>
      <c r="M33" s="897">
        <f>-M30*O33</f>
        <v>0</v>
      </c>
      <c r="N33" s="894"/>
      <c r="O33" s="898">
        <f>O8</f>
        <v>6.4999999999999997E-3</v>
      </c>
      <c r="P33" s="898"/>
    </row>
    <row r="34" spans="2:16" ht="21.75" customHeight="1">
      <c r="B34" s="895"/>
      <c r="C34" s="897" t="s">
        <v>419</v>
      </c>
      <c r="D34" s="893"/>
      <c r="E34" s="897">
        <f t="shared" si="1"/>
        <v>0</v>
      </c>
      <c r="F34" s="892"/>
      <c r="G34" s="898">
        <f t="shared" si="2"/>
        <v>6.5000000000000006E-3</v>
      </c>
      <c r="H34" s="900"/>
      <c r="J34" s="895"/>
      <c r="K34" s="897" t="s">
        <v>420</v>
      </c>
      <c r="L34" s="893"/>
      <c r="M34" s="897">
        <f>-M30*O34</f>
        <v>0</v>
      </c>
      <c r="N34" s="892"/>
      <c r="O34" s="898">
        <f>O9</f>
        <v>0.03</v>
      </c>
      <c r="P34" s="900"/>
    </row>
    <row r="35" spans="2:16" ht="21.75" customHeight="1">
      <c r="B35" s="895"/>
      <c r="C35" s="897" t="s">
        <v>421</v>
      </c>
      <c r="D35" s="893"/>
      <c r="E35" s="897">
        <f t="shared" si="1"/>
        <v>0</v>
      </c>
      <c r="G35" s="898">
        <f t="shared" si="2"/>
        <v>0.01</v>
      </c>
      <c r="H35" s="898"/>
      <c r="J35" s="895"/>
      <c r="K35" s="897" t="s">
        <v>422</v>
      </c>
      <c r="L35" s="893"/>
      <c r="M35" s="897">
        <f>-M30*O35</f>
        <v>0</v>
      </c>
      <c r="N35" s="894"/>
      <c r="O35" s="898">
        <f>O10</f>
        <v>0.05</v>
      </c>
      <c r="P35" s="898"/>
    </row>
    <row r="36" spans="2:16" ht="21.75" customHeight="1">
      <c r="B36" s="895"/>
      <c r="C36" s="897" t="s">
        <v>423</v>
      </c>
      <c r="D36" s="893"/>
      <c r="E36" s="897">
        <f t="shared" si="1"/>
        <v>0</v>
      </c>
      <c r="G36" s="898">
        <f t="shared" si="2"/>
        <v>0.11</v>
      </c>
      <c r="H36" s="898"/>
      <c r="J36" s="895"/>
      <c r="K36" s="897" t="s">
        <v>563</v>
      </c>
      <c r="L36" s="893"/>
      <c r="M36" s="897">
        <f>-M30*O36</f>
        <v>0</v>
      </c>
      <c r="N36" s="894"/>
      <c r="O36" s="898">
        <f>O11</f>
        <v>0</v>
      </c>
      <c r="P36" s="898"/>
    </row>
    <row r="37" spans="2:16" ht="21.75" customHeight="1">
      <c r="B37" s="895"/>
      <c r="C37" s="897" t="s">
        <v>425</v>
      </c>
      <c r="D37" s="893"/>
      <c r="E37" s="897">
        <f>SUM(E31:E36)</f>
        <v>0</v>
      </c>
      <c r="G37" s="898"/>
      <c r="H37" s="898"/>
      <c r="J37" s="895"/>
      <c r="K37" s="897" t="s">
        <v>424</v>
      </c>
      <c r="L37" s="893"/>
      <c r="M37" s="897">
        <f>SUM(M30:M36)</f>
        <v>0</v>
      </c>
      <c r="N37" s="894"/>
      <c r="O37" s="898"/>
      <c r="P37" s="898"/>
    </row>
    <row r="38" spans="2:16" ht="21.75" customHeight="1">
      <c r="B38" s="895"/>
      <c r="C38" s="897" t="s">
        <v>427</v>
      </c>
      <c r="D38" s="893"/>
      <c r="E38" s="897">
        <f>SUM(E30+E37)</f>
        <v>0</v>
      </c>
      <c r="G38" s="898"/>
      <c r="H38" s="886"/>
      <c r="J38" s="895"/>
      <c r="K38" s="897" t="s">
        <v>426</v>
      </c>
      <c r="L38" s="893"/>
      <c r="M38" s="897">
        <f>SUM(E36,E41,E42,E44,E45)</f>
        <v>0</v>
      </c>
      <c r="N38" s="894"/>
      <c r="O38" s="898"/>
      <c r="P38" s="898"/>
    </row>
    <row r="39" spans="2:16" ht="21.75" hidden="1" customHeight="1">
      <c r="B39" s="895"/>
      <c r="C39" s="897"/>
      <c r="D39" s="893"/>
      <c r="E39" s="897"/>
      <c r="G39" s="898"/>
      <c r="H39" s="898"/>
      <c r="J39" s="895"/>
      <c r="K39" s="897"/>
      <c r="L39" s="893"/>
      <c r="M39" s="897"/>
      <c r="N39" s="894"/>
      <c r="O39" s="898"/>
      <c r="P39" s="886"/>
    </row>
    <row r="40" spans="2:16" ht="21.75" customHeight="1">
      <c r="B40" s="895"/>
      <c r="C40" s="897" t="s">
        <v>438</v>
      </c>
      <c r="D40" s="893"/>
      <c r="E40" s="897">
        <f>SUM(E38:E39)</f>
        <v>0</v>
      </c>
      <c r="G40" s="898"/>
      <c r="H40" s="886"/>
      <c r="J40" s="895"/>
      <c r="K40" s="897" t="s">
        <v>428</v>
      </c>
      <c r="L40" s="893"/>
      <c r="M40" s="897">
        <f>SUM(M37:M38)</f>
        <v>0</v>
      </c>
      <c r="N40" s="894"/>
      <c r="O40" s="898"/>
      <c r="P40" s="898"/>
    </row>
    <row r="41" spans="2:16" ht="21.75" customHeight="1">
      <c r="B41" s="895"/>
      <c r="C41" s="897" t="s">
        <v>430</v>
      </c>
      <c r="D41" s="893"/>
      <c r="E41" s="897">
        <f>E16*12</f>
        <v>0</v>
      </c>
      <c r="G41" s="898"/>
      <c r="H41" s="898"/>
      <c r="J41" s="895"/>
      <c r="K41" s="897" t="s">
        <v>429</v>
      </c>
      <c r="L41" s="893"/>
      <c r="M41" s="897">
        <f>E43</f>
        <v>0</v>
      </c>
      <c r="N41" s="894"/>
      <c r="O41" s="898"/>
      <c r="P41" s="886"/>
    </row>
    <row r="42" spans="2:16" ht="21.75" customHeight="1">
      <c r="B42" s="895"/>
      <c r="C42" s="897" t="s">
        <v>432</v>
      </c>
      <c r="D42" s="893"/>
      <c r="E42" s="897">
        <f>E17*12</f>
        <v>0</v>
      </c>
      <c r="G42" s="898"/>
      <c r="H42" s="886"/>
      <c r="J42" s="895"/>
      <c r="K42" s="897" t="s">
        <v>431</v>
      </c>
      <c r="L42" s="893"/>
      <c r="M42" s="897">
        <f>SUM(M39:M41)</f>
        <v>0</v>
      </c>
      <c r="N42" s="894"/>
      <c r="O42" s="898"/>
      <c r="P42" s="898"/>
    </row>
    <row r="43" spans="2:16" ht="21.75" customHeight="1">
      <c r="B43" s="895"/>
      <c r="C43" s="897" t="s">
        <v>429</v>
      </c>
      <c r="D43" s="893"/>
      <c r="E43" s="897">
        <f>E18*12</f>
        <v>0</v>
      </c>
      <c r="G43" s="898">
        <v>0.06</v>
      </c>
      <c r="H43" s="886"/>
      <c r="J43" s="895"/>
      <c r="K43" s="897" t="s">
        <v>433</v>
      </c>
      <c r="L43" s="893"/>
      <c r="M43" s="897">
        <f>-M42*O43</f>
        <v>0</v>
      </c>
      <c r="N43" s="894"/>
      <c r="O43" s="898">
        <f>O18</f>
        <v>0.15</v>
      </c>
      <c r="P43" s="886"/>
    </row>
    <row r="44" spans="2:16" ht="21.75" customHeight="1">
      <c r="B44" s="895"/>
      <c r="C44" s="897" t="s">
        <v>491</v>
      </c>
      <c r="D44" s="893"/>
      <c r="E44" s="897">
        <f>-((Consolidado_Geral!L65*12)*((2/12)+((1/3)/12)))</f>
        <v>0</v>
      </c>
      <c r="G44" s="898"/>
      <c r="H44" s="886"/>
      <c r="J44" s="895"/>
      <c r="K44" s="897" t="s">
        <v>434</v>
      </c>
      <c r="L44" s="893"/>
      <c r="M44" s="897">
        <f>-IF(M42&gt;20000, (M42-20000)*O44,0)</f>
        <v>0</v>
      </c>
      <c r="N44" s="894"/>
      <c r="O44" s="898">
        <f>O19</f>
        <v>0.1</v>
      </c>
      <c r="P44" s="886"/>
    </row>
    <row r="45" spans="2:16" ht="21.75" customHeight="1">
      <c r="B45" s="895"/>
      <c r="C45" s="897" t="s">
        <v>565</v>
      </c>
      <c r="D45" s="893"/>
      <c r="E45" s="897">
        <f>E19*12</f>
        <v>0</v>
      </c>
      <c r="G45" s="898"/>
      <c r="H45" s="886"/>
      <c r="J45" s="895"/>
      <c r="K45" s="897" t="s">
        <v>435</v>
      </c>
      <c r="L45" s="893"/>
      <c r="M45" s="897">
        <f>-M42*O45</f>
        <v>0</v>
      </c>
      <c r="N45" s="894"/>
      <c r="O45" s="898">
        <f>O20</f>
        <v>0.09</v>
      </c>
      <c r="P45" s="886"/>
    </row>
    <row r="46" spans="2:16" ht="15.75" customHeight="1">
      <c r="B46" s="895"/>
      <c r="C46" s="897" t="s">
        <v>436</v>
      </c>
      <c r="D46" s="893"/>
      <c r="E46" s="897">
        <f>SUM(E40:E45)</f>
        <v>0</v>
      </c>
      <c r="G46" s="898">
        <f>IF(E46&gt;0,E46/E30,0)</f>
        <v>0</v>
      </c>
      <c r="H46" s="886"/>
      <c r="J46" s="895"/>
      <c r="K46" s="897" t="s">
        <v>437</v>
      </c>
      <c r="L46" s="893"/>
      <c r="M46" s="897">
        <f>SUM(M42:M45)</f>
        <v>0</v>
      </c>
      <c r="N46" s="894"/>
      <c r="O46" s="898">
        <f>IF(M46&gt;0,M46/M30,0)</f>
        <v>0</v>
      </c>
      <c r="P46" s="886"/>
    </row>
    <row r="47" spans="2:16">
      <c r="B47" s="895"/>
      <c r="C47" s="895"/>
      <c r="D47" s="895"/>
      <c r="E47" s="886"/>
      <c r="F47" s="886"/>
      <c r="G47" s="886"/>
      <c r="H47" s="886"/>
      <c r="J47" s="895"/>
      <c r="K47" s="895"/>
      <c r="L47" s="895"/>
      <c r="M47" s="886"/>
      <c r="N47" s="886"/>
      <c r="O47" s="886"/>
      <c r="P47" s="901"/>
    </row>
  </sheetData>
  <sheetProtection password="D998" sheet="1" objects="1" scenarios="1"/>
  <mergeCells count="6">
    <mergeCell ref="C29:G29"/>
    <mergeCell ref="K29:O29"/>
    <mergeCell ref="C1:O1"/>
    <mergeCell ref="C4:G4"/>
    <mergeCell ref="K4:O4"/>
    <mergeCell ref="C26:O26"/>
  </mergeCells>
  <phoneticPr fontId="3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 enableFormatConditionsCalculation="0">
    <tabColor indexed="32"/>
    <pageSetUpPr autoPageBreaks="0" fitToPage="1"/>
  </sheetPr>
  <dimension ref="A1:DE99"/>
  <sheetViews>
    <sheetView showGridLines="0" zoomScaleNormal="94" workbookViewId="0">
      <pane xSplit="2" ySplit="11" topLeftCell="C12" activePane="bottomRight" state="frozenSplit"/>
      <selection activeCell="A8" sqref="A8"/>
      <selection pane="topRight" activeCell="Q1" sqref="Q1"/>
      <selection pane="bottomLeft" activeCell="A10" sqref="A10"/>
      <selection pane="bottomRight" activeCell="AG14" sqref="AG14:AG24"/>
    </sheetView>
  </sheetViews>
  <sheetFormatPr defaultRowHeight="12.75" customHeight="1"/>
  <cols>
    <col min="1" max="1" width="2.7109375" style="1" bestFit="1" customWidth="1"/>
    <col min="2" max="2" width="32.28515625" style="3" customWidth="1"/>
    <col min="3" max="3" width="0.85546875" style="3" customWidth="1"/>
    <col min="4" max="4" width="0.7109375" style="3" customWidth="1"/>
    <col min="5" max="5" width="4" style="2" customWidth="1"/>
    <col min="6" max="6" width="1.7109375" style="3" customWidth="1"/>
    <col min="7" max="7" width="4.42578125" style="3" customWidth="1"/>
    <col min="8" max="8" width="0.5703125" style="3" customWidth="1"/>
    <col min="9" max="9" width="5.28515625" style="3" customWidth="1"/>
    <col min="10" max="10" width="2.85546875" style="3" customWidth="1"/>
    <col min="11" max="11" width="5.5703125" style="3" customWidth="1"/>
    <col min="12" max="12" width="1.5703125" style="3" customWidth="1"/>
    <col min="13" max="13" width="5.28515625" style="3" customWidth="1"/>
    <col min="14" max="14" width="1.7109375" style="3" customWidth="1"/>
    <col min="15" max="15" width="4.7109375" style="3" customWidth="1"/>
    <col min="16" max="16" width="1.140625" style="3" customWidth="1"/>
    <col min="17" max="17" width="4.85546875" style="3" customWidth="1"/>
    <col min="18" max="18" width="1.7109375" style="3" customWidth="1"/>
    <col min="19" max="19" width="10.42578125" style="4" customWidth="1"/>
    <col min="20" max="20" width="0.85546875" style="4" customWidth="1"/>
    <col min="21" max="21" width="5.5703125" style="4" customWidth="1"/>
    <col min="22" max="22" width="1.5703125" style="4" customWidth="1"/>
    <col min="23" max="23" width="8.85546875" style="5" customWidth="1"/>
    <col min="24" max="24" width="0.7109375" style="4" customWidth="1"/>
    <col min="25" max="25" width="6.7109375" style="4" hidden="1" customWidth="1"/>
    <col min="26" max="26" width="1.7109375" style="4" hidden="1" customWidth="1"/>
    <col min="27" max="27" width="3.7109375" style="3" hidden="1" customWidth="1"/>
    <col min="28" max="28" width="1.7109375" style="4" hidden="1" customWidth="1"/>
    <col min="29" max="29" width="11.140625" style="6" hidden="1" customWidth="1"/>
    <col min="30" max="30" width="1.7109375" style="4" hidden="1" customWidth="1"/>
    <col min="31" max="31" width="10.85546875" style="4" hidden="1" customWidth="1"/>
    <col min="32" max="32" width="0.5703125" style="4" customWidth="1"/>
    <col min="33" max="33" width="9.140625" style="4"/>
    <col min="34" max="34" width="1.5703125" style="4" customWidth="1"/>
    <col min="35" max="35" width="5.85546875" style="4" customWidth="1"/>
    <col min="36" max="36" width="1.140625" style="4" customWidth="1"/>
    <col min="37" max="37" width="9.140625" style="7"/>
    <col min="38" max="38" width="0.7109375" style="4" customWidth="1"/>
    <col min="39" max="39" width="4.5703125" style="8" hidden="1" customWidth="1"/>
    <col min="40" max="40" width="0.85546875" style="4" hidden="1" customWidth="1"/>
    <col min="41" max="41" width="5.140625" style="4" hidden="1" customWidth="1"/>
    <col min="42" max="42" width="1.5703125" style="4" hidden="1" customWidth="1"/>
    <col min="43" max="43" width="5.140625" style="4" hidden="1" customWidth="1"/>
    <col min="44" max="44" width="0.5703125" style="4" customWidth="1"/>
    <col min="45" max="45" width="4.85546875" style="8" customWidth="1"/>
    <col min="46" max="46" width="2.28515625" style="4" customWidth="1"/>
    <col min="47" max="47" width="4.85546875" style="8" customWidth="1"/>
    <col min="48" max="48" width="1.7109375" style="4" customWidth="1"/>
    <col min="49" max="49" width="10.42578125" style="4" customWidth="1"/>
    <col min="50" max="50" width="1.5703125" style="4" customWidth="1"/>
    <col min="51" max="51" width="10.42578125" style="4" customWidth="1"/>
    <col min="52" max="52" width="2" style="4" customWidth="1"/>
    <col min="53" max="53" width="6.7109375" style="8" customWidth="1"/>
    <col min="54" max="54" width="1.7109375" style="4" customWidth="1"/>
    <col min="55" max="55" width="10.7109375" style="4" customWidth="1"/>
    <col min="56" max="56" width="1.85546875" style="4" customWidth="1"/>
    <col min="57" max="57" width="11.85546875" style="78" customWidth="1"/>
    <col min="58" max="58" width="1.140625" style="78" customWidth="1"/>
    <col min="59" max="59" width="9.5703125" style="886" hidden="1" customWidth="1"/>
    <col min="60" max="60" width="1.7109375" style="886" hidden="1" customWidth="1"/>
    <col min="61" max="61" width="11" style="886" hidden="1" customWidth="1"/>
    <col min="62" max="62" width="1.7109375" style="886" hidden="1" customWidth="1"/>
    <col min="63" max="63" width="13" style="886" hidden="1" customWidth="1"/>
    <col min="64" max="64" width="13.85546875" style="983" hidden="1" customWidth="1"/>
    <col min="65" max="65" width="0.140625" style="886" hidden="1" customWidth="1"/>
    <col min="66" max="66" width="5.85546875" style="886" hidden="1" customWidth="1"/>
    <col min="67" max="67" width="2.7109375" style="886" hidden="1" customWidth="1"/>
    <col min="68" max="68" width="3.7109375" style="886" hidden="1" customWidth="1"/>
    <col min="69" max="69" width="7.5703125" style="886" hidden="1" customWidth="1"/>
    <col min="70" max="70" width="3.7109375" style="886" hidden="1" customWidth="1"/>
    <col min="71" max="71" width="9.7109375" style="886" hidden="1" customWidth="1"/>
    <col min="72" max="72" width="3.7109375" style="886" hidden="1" customWidth="1"/>
    <col min="73" max="73" width="7.5703125" style="886" hidden="1" customWidth="1"/>
    <col min="74" max="74" width="3.7109375" style="886" hidden="1" customWidth="1"/>
    <col min="75" max="75" width="7.85546875" style="886" hidden="1" customWidth="1"/>
    <col min="76" max="76" width="3.7109375" style="886" hidden="1" customWidth="1"/>
    <col min="77" max="77" width="7.85546875" style="886" hidden="1" customWidth="1"/>
    <col min="78" max="78" width="9.140625" style="886" hidden="1" customWidth="1"/>
    <col min="79" max="79" width="12.5703125" style="886" hidden="1" customWidth="1"/>
    <col min="80" max="80" width="7.5703125" style="886" hidden="1" customWidth="1"/>
    <col min="81" max="81" width="9.140625" style="886" hidden="1" customWidth="1"/>
    <col min="82" max="82" width="12.5703125" style="984" hidden="1" customWidth="1"/>
    <col min="83" max="83" width="9.140625" style="984" hidden="1" customWidth="1"/>
    <col min="84" max="84" width="9.140625" style="886" hidden="1" customWidth="1"/>
    <col min="85" max="85" width="12" style="886" hidden="1" customWidth="1"/>
    <col min="86" max="86" width="9.28515625" style="886" hidden="1" customWidth="1"/>
    <col min="87" max="87" width="12.42578125" style="886" hidden="1" customWidth="1"/>
    <col min="88" max="89" width="9.140625" style="886" hidden="1" customWidth="1"/>
    <col min="90" max="90" width="13.85546875" style="985" hidden="1" customWidth="1"/>
    <col min="91" max="91" width="5.28515625" style="985" hidden="1" customWidth="1"/>
    <col min="92" max="94" width="7.85546875" style="985" hidden="1" customWidth="1"/>
    <col min="95" max="97" width="9.140625" style="985" hidden="1" customWidth="1"/>
    <col min="98" max="98" width="0" style="985" hidden="1" customWidth="1"/>
    <col min="99" max="109" width="9.140625" style="932"/>
    <col min="110" max="16384" width="9.140625" style="4"/>
  </cols>
  <sheetData>
    <row r="1" spans="1:109" ht="8.25" customHeight="1">
      <c r="B1" s="1"/>
      <c r="C1" s="1"/>
      <c r="D1" s="1"/>
    </row>
    <row r="2" spans="1:109" ht="16.5" customHeight="1">
      <c r="B2" s="1"/>
      <c r="C2" s="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109" ht="8.25" customHeight="1">
      <c r="B3" s="1"/>
      <c r="C3" s="1"/>
      <c r="D3" s="1"/>
      <c r="S3" s="12"/>
    </row>
    <row r="4" spans="1:109" ht="11.25" customHeight="1">
      <c r="E4" s="64"/>
      <c r="F4" s="65" t="s">
        <v>186</v>
      </c>
      <c r="G4" s="66"/>
      <c r="H4" s="66"/>
      <c r="I4" s="66"/>
      <c r="J4" s="66"/>
      <c r="K4" s="66"/>
      <c r="L4" s="65"/>
      <c r="M4" s="65"/>
      <c r="N4" s="67"/>
      <c r="O4" s="65"/>
      <c r="P4" s="67"/>
      <c r="Q4" s="6"/>
      <c r="R4" s="6"/>
      <c r="S4" s="12"/>
      <c r="T4" s="6"/>
      <c r="U4" s="6"/>
      <c r="V4" s="6"/>
      <c r="W4" s="10"/>
      <c r="X4" s="6"/>
      <c r="Y4" s="6"/>
      <c r="Z4" s="6"/>
      <c r="AA4" s="6"/>
      <c r="AB4" s="6"/>
      <c r="AD4" s="6"/>
      <c r="AJ4" s="6"/>
      <c r="AK4" s="6"/>
      <c r="AL4" s="6"/>
      <c r="AN4" s="6"/>
      <c r="AO4" s="11"/>
      <c r="AP4" s="6"/>
      <c r="AQ4" s="6"/>
      <c r="AR4" s="6"/>
      <c r="AT4" s="6"/>
      <c r="AV4" s="6"/>
      <c r="AW4" s="6"/>
      <c r="AX4" s="6"/>
      <c r="AY4" s="6"/>
      <c r="AZ4" s="6"/>
      <c r="BB4" s="6"/>
      <c r="BC4" s="6"/>
      <c r="BD4" s="6"/>
      <c r="BE4" s="67"/>
    </row>
    <row r="5" spans="1:109" ht="7.5" customHeight="1">
      <c r="B5" s="12"/>
      <c r="C5" s="12"/>
      <c r="D5" s="12"/>
      <c r="E5" s="68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2"/>
      <c r="R5" s="12"/>
      <c r="S5" s="12"/>
      <c r="T5" s="12"/>
      <c r="U5" s="12"/>
      <c r="V5" s="12"/>
      <c r="W5" s="13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P5" s="12"/>
      <c r="AQ5" s="12"/>
      <c r="AW5" s="12"/>
      <c r="AX5" s="12"/>
      <c r="AY5" s="12"/>
      <c r="AZ5" s="12"/>
      <c r="BC5" s="12"/>
      <c r="BD5" s="12"/>
    </row>
    <row r="6" spans="1:109" ht="15.75" customHeight="1" thickBot="1">
      <c r="E6" s="70"/>
      <c r="F6" s="66"/>
      <c r="G6" s="71"/>
      <c r="H6" s="71"/>
      <c r="I6" s="71"/>
      <c r="J6" s="72" t="s">
        <v>222</v>
      </c>
      <c r="K6" s="1000">
        <v>0.2</v>
      </c>
      <c r="L6" s="1001"/>
      <c r="M6" s="66"/>
      <c r="N6" s="73" t="s">
        <v>221</v>
      </c>
      <c r="O6" s="1007"/>
      <c r="P6" s="1008"/>
      <c r="W6" s="4"/>
      <c r="AA6" s="4"/>
      <c r="AC6" s="4"/>
      <c r="AJ6" s="9"/>
      <c r="AK6" s="9"/>
      <c r="AL6" s="14"/>
      <c r="AO6" s="5"/>
      <c r="AP6" s="99"/>
      <c r="AQ6" s="100"/>
      <c r="AX6" s="99"/>
      <c r="AY6" s="100"/>
      <c r="AZ6" s="101"/>
      <c r="BA6" s="102" t="s">
        <v>568</v>
      </c>
      <c r="BC6" s="884"/>
      <c r="BD6" s="103" t="s">
        <v>397</v>
      </c>
      <c r="BE6" s="975"/>
      <c r="BF6" s="65" t="s">
        <v>398</v>
      </c>
      <c r="BH6" s="943"/>
      <c r="BK6" s="986"/>
      <c r="BT6" s="987">
        <f>30-K8</f>
        <v>25</v>
      </c>
      <c r="BU6" s="987"/>
    </row>
    <row r="7" spans="1:109" ht="4.5" customHeight="1">
      <c r="E7" s="70"/>
      <c r="F7" s="74"/>
      <c r="G7" s="74"/>
      <c r="H7" s="74"/>
      <c r="I7" s="74"/>
      <c r="J7" s="74"/>
      <c r="K7" s="75"/>
      <c r="L7" s="75"/>
      <c r="M7" s="66"/>
      <c r="N7" s="74"/>
      <c r="O7" s="66"/>
      <c r="P7" s="74"/>
      <c r="Q7" s="14"/>
      <c r="R7" s="14"/>
      <c r="S7" s="17"/>
      <c r="T7" s="17"/>
      <c r="U7" s="17"/>
      <c r="V7" s="17"/>
      <c r="W7" s="4"/>
      <c r="AL7" s="14"/>
      <c r="AR7" s="14"/>
    </row>
    <row r="8" spans="1:109" ht="15.75" customHeight="1" thickBot="1">
      <c r="B8" s="18"/>
      <c r="C8" s="18"/>
      <c r="D8" s="18"/>
      <c r="E8" s="76"/>
      <c r="F8" s="77"/>
      <c r="G8" s="66"/>
      <c r="H8" s="66"/>
      <c r="I8" s="78"/>
      <c r="J8" s="73" t="s">
        <v>220</v>
      </c>
      <c r="K8" s="1005">
        <v>5</v>
      </c>
      <c r="L8" s="1006"/>
      <c r="M8" s="66"/>
      <c r="N8" s="73" t="s">
        <v>583</v>
      </c>
      <c r="O8" s="1007"/>
      <c r="P8" s="1008"/>
      <c r="X8" s="20"/>
      <c r="AP8" s="9"/>
      <c r="AQ8" s="9"/>
      <c r="AW8" s="9"/>
      <c r="AX8" s="9"/>
      <c r="AY8" s="100" t="s">
        <v>586</v>
      </c>
      <c r="AZ8" s="9"/>
      <c r="BC8" s="912"/>
      <c r="BD8" s="9"/>
    </row>
    <row r="9" spans="1:109" ht="3" customHeight="1">
      <c r="B9" s="18"/>
      <c r="C9" s="18"/>
      <c r="D9" s="18"/>
      <c r="E9" s="19"/>
      <c r="F9" s="18"/>
      <c r="G9" s="16"/>
      <c r="H9" s="16"/>
      <c r="I9" s="4"/>
      <c r="J9" s="18"/>
      <c r="K9" s="21"/>
      <c r="L9" s="4"/>
      <c r="M9" s="18"/>
      <c r="N9" s="18"/>
      <c r="O9" s="18"/>
      <c r="P9" s="18"/>
      <c r="Q9" s="22"/>
      <c r="R9" s="18"/>
      <c r="T9" s="15"/>
      <c r="U9" s="15"/>
      <c r="V9" s="15"/>
      <c r="W9" s="4"/>
      <c r="X9" s="15"/>
      <c r="Z9" s="15"/>
      <c r="AB9" s="9"/>
      <c r="AD9" s="9"/>
      <c r="AE9" s="9"/>
      <c r="AF9" s="9"/>
      <c r="AG9" s="9"/>
      <c r="AH9" s="9"/>
      <c r="AI9" s="9"/>
      <c r="AJ9" s="9"/>
      <c r="AP9" s="9"/>
      <c r="AQ9" s="9"/>
      <c r="AW9" s="9"/>
      <c r="AX9" s="9"/>
      <c r="AY9" s="9"/>
      <c r="AZ9" s="9"/>
      <c r="BC9" s="9"/>
      <c r="BD9" s="9"/>
    </row>
    <row r="10" spans="1:109" s="55" customFormat="1" ht="73.5" customHeight="1">
      <c r="B10" s="79" t="s">
        <v>37</v>
      </c>
      <c r="C10" s="56"/>
      <c r="D10" s="56"/>
      <c r="E10" s="57" t="s">
        <v>515</v>
      </c>
      <c r="F10" s="58"/>
      <c r="G10" s="59" t="s">
        <v>400</v>
      </c>
      <c r="H10" s="58"/>
      <c r="I10" s="1012" t="s">
        <v>130</v>
      </c>
      <c r="J10" s="1013"/>
      <c r="K10" s="1014"/>
      <c r="L10" s="58"/>
      <c r="M10" s="59" t="s">
        <v>395</v>
      </c>
      <c r="N10" s="58"/>
      <c r="O10" s="59" t="s">
        <v>160</v>
      </c>
      <c r="P10" s="58"/>
      <c r="Q10" s="59" t="s">
        <v>128</v>
      </c>
      <c r="R10" s="58"/>
      <c r="S10" s="60" t="s">
        <v>42</v>
      </c>
      <c r="T10" s="61"/>
      <c r="U10" s="60" t="s">
        <v>595</v>
      </c>
      <c r="V10" s="61"/>
      <c r="W10" s="60" t="s">
        <v>606</v>
      </c>
      <c r="X10" s="61"/>
      <c r="Y10" s="60" t="s">
        <v>613</v>
      </c>
      <c r="Z10" s="61"/>
      <c r="AA10" s="60" t="s">
        <v>605</v>
      </c>
      <c r="AB10" s="61"/>
      <c r="AC10" s="60" t="s">
        <v>607</v>
      </c>
      <c r="AD10" s="58"/>
      <c r="AE10" s="63"/>
      <c r="AF10" s="924"/>
      <c r="AG10" s="60" t="s">
        <v>596</v>
      </c>
      <c r="AH10" s="924"/>
      <c r="AI10" s="60" t="s">
        <v>597</v>
      </c>
      <c r="AJ10" s="58"/>
      <c r="AK10" s="59" t="s">
        <v>107</v>
      </c>
      <c r="AL10" s="58"/>
      <c r="AM10" s="59" t="s">
        <v>129</v>
      </c>
      <c r="AN10" s="58"/>
      <c r="AO10" s="59" t="s">
        <v>110</v>
      </c>
      <c r="AP10" s="58"/>
      <c r="AQ10" s="63"/>
      <c r="AR10" s="58"/>
      <c r="AS10" s="1012" t="s">
        <v>442</v>
      </c>
      <c r="AT10" s="1013"/>
      <c r="AU10" s="1014"/>
      <c r="AV10" s="58"/>
      <c r="AW10" s="59" t="s">
        <v>409</v>
      </c>
      <c r="AX10" s="58"/>
      <c r="AY10" s="873" t="str">
        <f>IF(PF!P54&gt;0,"Folguista Rendição - Intrajornada",0)</f>
        <v>Folguista Rendição - Intrajornada</v>
      </c>
      <c r="AZ10" s="58"/>
      <c r="BA10" s="59" t="s">
        <v>455</v>
      </c>
      <c r="BB10" s="58"/>
      <c r="BC10" s="63"/>
      <c r="BD10" s="58"/>
      <c r="BE10" s="62" t="s">
        <v>584</v>
      </c>
      <c r="BF10" s="58"/>
      <c r="BG10" s="944" t="s">
        <v>108</v>
      </c>
      <c r="BH10" s="945"/>
      <c r="BI10" s="944" t="s">
        <v>562</v>
      </c>
      <c r="BJ10" s="945"/>
      <c r="BK10" s="944" t="s">
        <v>109</v>
      </c>
      <c r="BL10" s="946"/>
      <c r="BM10" s="947"/>
      <c r="BN10" s="947"/>
      <c r="BO10" s="947"/>
      <c r="BP10" s="947"/>
      <c r="BQ10" s="947"/>
      <c r="BR10" s="947"/>
      <c r="BS10" s="947"/>
      <c r="BT10" s="947"/>
      <c r="BU10" s="947"/>
      <c r="BV10" s="947"/>
      <c r="BW10" s="947"/>
      <c r="BX10" s="947"/>
      <c r="BY10" s="947"/>
      <c r="BZ10" s="947"/>
      <c r="CA10" s="947"/>
      <c r="CB10" s="947"/>
      <c r="CC10" s="947"/>
      <c r="CD10" s="947"/>
      <c r="CE10" s="947"/>
      <c r="CF10" s="947"/>
      <c r="CG10" s="947"/>
      <c r="CH10" s="947"/>
      <c r="CI10" s="947"/>
      <c r="CJ10" s="947"/>
      <c r="CK10" s="947"/>
      <c r="CL10" s="962"/>
      <c r="CM10" s="962"/>
      <c r="CN10" s="962"/>
      <c r="CO10" s="962"/>
      <c r="CP10" s="962"/>
      <c r="CQ10" s="962"/>
      <c r="CR10" s="962"/>
      <c r="CS10" s="962"/>
      <c r="CT10" s="962"/>
      <c r="CU10" s="933"/>
      <c r="CV10" s="933"/>
      <c r="CW10" s="933"/>
      <c r="CX10" s="933"/>
      <c r="CY10" s="933"/>
      <c r="CZ10" s="933"/>
      <c r="DA10" s="933"/>
      <c r="DB10" s="933"/>
      <c r="DC10" s="933"/>
      <c r="DD10" s="933"/>
      <c r="DE10" s="933"/>
    </row>
    <row r="11" spans="1:109" s="23" customFormat="1" ht="2.25" customHeight="1">
      <c r="B11" s="24"/>
      <c r="C11" s="25"/>
      <c r="D11" s="25"/>
      <c r="E11" s="27"/>
      <c r="I11" s="26"/>
      <c r="K11" s="26"/>
      <c r="S11" s="25"/>
      <c r="T11" s="25"/>
      <c r="U11" s="25"/>
      <c r="V11" s="25"/>
      <c r="W11" s="28"/>
      <c r="X11" s="25"/>
      <c r="Y11" s="25"/>
      <c r="Z11" s="25"/>
      <c r="AA11" s="25"/>
      <c r="AB11" s="25"/>
      <c r="AC11" s="29"/>
      <c r="AE11" s="30"/>
      <c r="AF11" s="30"/>
      <c r="AG11" s="25"/>
      <c r="AH11" s="30"/>
      <c r="AI11" s="25"/>
      <c r="AM11" s="31"/>
      <c r="AS11" s="31"/>
      <c r="AU11" s="31"/>
      <c r="BA11" s="31"/>
      <c r="BC11" s="30"/>
      <c r="BE11" s="976"/>
      <c r="BF11" s="55"/>
      <c r="BG11" s="948"/>
      <c r="BH11" s="947"/>
      <c r="BI11" s="948"/>
      <c r="BJ11" s="947"/>
      <c r="BK11" s="948"/>
      <c r="BL11" s="946"/>
      <c r="BM11" s="947"/>
      <c r="BN11" s="947"/>
      <c r="BO11" s="947"/>
      <c r="BP11" s="947"/>
      <c r="BQ11" s="947"/>
      <c r="BR11" s="947"/>
      <c r="BS11" s="947"/>
      <c r="BT11" s="947"/>
      <c r="BU11" s="947"/>
      <c r="BV11" s="947"/>
      <c r="BW11" s="947"/>
      <c r="BX11" s="947"/>
      <c r="BY11" s="947"/>
      <c r="BZ11" s="947"/>
      <c r="CA11" s="947"/>
      <c r="CB11" s="947"/>
      <c r="CC11" s="947"/>
      <c r="CD11" s="947"/>
      <c r="CE11" s="947"/>
      <c r="CF11" s="947"/>
      <c r="CG11" s="947"/>
      <c r="CH11" s="947"/>
      <c r="CI11" s="947"/>
      <c r="CJ11" s="947"/>
      <c r="CK11" s="947"/>
      <c r="CL11" s="962"/>
      <c r="CM11" s="962"/>
      <c r="CN11" s="962"/>
      <c r="CO11" s="962"/>
      <c r="CP11" s="962"/>
      <c r="CQ11" s="962"/>
      <c r="CR11" s="962"/>
      <c r="CS11" s="962"/>
      <c r="CT11" s="962"/>
      <c r="CU11" s="933"/>
      <c r="CV11" s="933"/>
      <c r="CW11" s="933"/>
      <c r="CX11" s="933"/>
      <c r="CY11" s="933"/>
      <c r="CZ11" s="933"/>
      <c r="DA11" s="933"/>
      <c r="DB11" s="933"/>
      <c r="DC11" s="933"/>
      <c r="DD11" s="933"/>
      <c r="DE11" s="933"/>
    </row>
    <row r="12" spans="1:109" s="34" customFormat="1" ht="9.75" customHeight="1">
      <c r="A12" s="32"/>
      <c r="B12" s="98">
        <v>1</v>
      </c>
      <c r="C12" s="32"/>
      <c r="D12" s="32"/>
      <c r="E12" s="98">
        <v>2</v>
      </c>
      <c r="F12" s="32"/>
      <c r="G12" s="98">
        <v>3</v>
      </c>
      <c r="H12" s="32"/>
      <c r="I12" s="98">
        <v>4</v>
      </c>
      <c r="J12" s="32"/>
      <c r="K12" s="98">
        <v>5</v>
      </c>
      <c r="L12" s="32"/>
      <c r="M12" s="98">
        <v>6</v>
      </c>
      <c r="N12" s="32"/>
      <c r="O12" s="98">
        <v>7</v>
      </c>
      <c r="P12" s="32"/>
      <c r="Q12" s="98">
        <v>8</v>
      </c>
      <c r="R12" s="32"/>
      <c r="S12" s="98">
        <v>9</v>
      </c>
      <c r="T12" s="32"/>
      <c r="U12" s="98">
        <v>10</v>
      </c>
      <c r="V12" s="32"/>
      <c r="W12" s="98">
        <v>11</v>
      </c>
      <c r="X12" s="32"/>
      <c r="Y12" s="98">
        <v>12</v>
      </c>
      <c r="Z12" s="32"/>
      <c r="AA12" s="98">
        <v>13</v>
      </c>
      <c r="AB12" s="32"/>
      <c r="AC12" s="98">
        <v>14</v>
      </c>
      <c r="AD12" s="32"/>
      <c r="AE12" s="98">
        <v>15</v>
      </c>
      <c r="AF12" s="98"/>
      <c r="AG12" s="98">
        <v>16</v>
      </c>
      <c r="AH12" s="98"/>
      <c r="AI12" s="98">
        <v>17</v>
      </c>
      <c r="AJ12" s="32"/>
      <c r="AK12" s="98">
        <v>18</v>
      </c>
      <c r="AL12" s="32"/>
      <c r="AM12" s="33">
        <v>19</v>
      </c>
      <c r="AN12" s="32"/>
      <c r="AO12" s="98">
        <v>20</v>
      </c>
      <c r="AP12" s="32"/>
      <c r="AQ12" s="98">
        <v>21</v>
      </c>
      <c r="AR12" s="32"/>
      <c r="AS12" s="33">
        <v>22</v>
      </c>
      <c r="AT12" s="32"/>
      <c r="AU12" s="33">
        <v>23</v>
      </c>
      <c r="AV12" s="32"/>
      <c r="AW12" s="98">
        <v>24</v>
      </c>
      <c r="AX12" s="32"/>
      <c r="AY12" s="98">
        <v>25</v>
      </c>
      <c r="AZ12" s="32"/>
      <c r="BA12" s="33">
        <v>26</v>
      </c>
      <c r="BB12" s="32"/>
      <c r="BC12" s="98">
        <v>27</v>
      </c>
      <c r="BD12" s="32"/>
      <c r="BE12" s="977">
        <v>28</v>
      </c>
      <c r="BF12" s="978"/>
      <c r="BG12" s="949">
        <v>27</v>
      </c>
      <c r="BH12" s="950"/>
      <c r="BI12" s="949">
        <v>28</v>
      </c>
      <c r="BJ12" s="950"/>
      <c r="BK12" s="949">
        <v>29</v>
      </c>
      <c r="BL12" s="951" t="s">
        <v>581</v>
      </c>
      <c r="BM12" s="950"/>
      <c r="BN12" s="950"/>
      <c r="BO12" s="950"/>
      <c r="BP12" s="950"/>
      <c r="BQ12" s="950"/>
      <c r="BR12" s="950"/>
      <c r="BS12" s="950"/>
      <c r="BT12" s="950"/>
      <c r="BU12" s="950"/>
      <c r="BV12" s="950"/>
      <c r="BW12" s="950"/>
      <c r="BX12" s="950"/>
      <c r="BY12" s="950"/>
      <c r="BZ12" s="950"/>
      <c r="CA12" s="950" t="s">
        <v>453</v>
      </c>
      <c r="CB12" s="950" t="s">
        <v>454</v>
      </c>
      <c r="CC12" s="950" t="s">
        <v>409</v>
      </c>
      <c r="CD12" s="950" t="s">
        <v>570</v>
      </c>
      <c r="CE12" s="950" t="s">
        <v>571</v>
      </c>
      <c r="CF12" s="950"/>
      <c r="CG12" s="950" t="s">
        <v>569</v>
      </c>
      <c r="CH12" s="950"/>
      <c r="CI12" s="950" t="s">
        <v>569</v>
      </c>
      <c r="CJ12" s="952" t="s">
        <v>566</v>
      </c>
      <c r="CK12" s="950"/>
      <c r="CL12" s="963"/>
      <c r="CM12" s="963"/>
      <c r="CN12" s="963"/>
      <c r="CO12" s="963"/>
      <c r="CP12" s="963"/>
      <c r="CQ12" s="963"/>
      <c r="CR12" s="963"/>
      <c r="CS12" s="963"/>
      <c r="CT12" s="963"/>
      <c r="CU12" s="934"/>
      <c r="CV12" s="934"/>
      <c r="CW12" s="934"/>
      <c r="CX12" s="934"/>
      <c r="CY12" s="934"/>
      <c r="CZ12" s="934"/>
      <c r="DA12" s="934"/>
      <c r="DB12" s="934"/>
      <c r="DC12" s="934"/>
      <c r="DD12" s="934"/>
      <c r="DE12" s="934"/>
    </row>
    <row r="13" spans="1:109" s="3" customFormat="1" ht="24">
      <c r="A13" s="1">
        <v>1</v>
      </c>
      <c r="B13" s="80" t="s">
        <v>618</v>
      </c>
      <c r="E13" s="80">
        <v>2</v>
      </c>
      <c r="G13" s="80">
        <v>30</v>
      </c>
      <c r="I13" s="83">
        <v>0.29166666666666669</v>
      </c>
      <c r="J13" s="35" t="str">
        <f>IF(I13&gt;0,"às",".")</f>
        <v>às</v>
      </c>
      <c r="K13" s="83">
        <v>0.79166666666666663</v>
      </c>
      <c r="L13" s="85"/>
      <c r="M13" s="80">
        <v>220</v>
      </c>
      <c r="N13" s="66"/>
      <c r="O13" s="593">
        <f>IF(M13&gt;0,M13,0)</f>
        <v>220</v>
      </c>
      <c r="P13" s="66"/>
      <c r="Q13" s="80"/>
      <c r="R13" s="86">
        <f>T13*E13</f>
        <v>0</v>
      </c>
      <c r="S13" s="87"/>
      <c r="T13" s="38">
        <f>IF(M13&gt;0,(S13/M13)*O13,0)</f>
        <v>0</v>
      </c>
      <c r="U13" s="969">
        <f>IF(S13&gt;0,S13/M13,0)</f>
        <v>0</v>
      </c>
      <c r="V13" s="38"/>
      <c r="W13" s="92"/>
      <c r="X13" s="93">
        <f>IF(M13&gt;0,(W13/M13)*O13,0)</f>
        <v>0</v>
      </c>
      <c r="Y13" s="94"/>
      <c r="Z13" s="66"/>
      <c r="AA13" s="95"/>
      <c r="AC13" s="586">
        <f>IF(CS13&gt;0,CS13,0)</f>
        <v>0</v>
      </c>
      <c r="AD13" s="37">
        <f>AC13*E13</f>
        <v>0</v>
      </c>
      <c r="AE13" s="594"/>
      <c r="AF13" s="925"/>
      <c r="AG13" s="967">
        <f>Q13*1.173537*G13</f>
        <v>0</v>
      </c>
      <c r="AH13" s="968"/>
      <c r="AI13" s="969">
        <f>ROUNDDOWN(IF(Q13&gt;0,((T13+AC13+AE13)/M13)*$K$6,0),2)</f>
        <v>0</v>
      </c>
      <c r="AJ13" s="595">
        <f>AE13*E13</f>
        <v>0</v>
      </c>
      <c r="AK13" s="588">
        <f>ROUND(IF(E13&gt;0,(AI13*AG13),0),2)</f>
        <v>0</v>
      </c>
      <c r="AL13" s="595">
        <f>AK13*$E13</f>
        <v>0</v>
      </c>
      <c r="AM13" s="96"/>
      <c r="AN13" s="37"/>
      <c r="AO13" s="588">
        <f>IF($AM13&gt;=1,CHOOSE($AM13,BQ13,BS13,BU13,BW13,BY13),0)</f>
        <v>0</v>
      </c>
      <c r="AP13" s="37">
        <f>AO13*E13</f>
        <v>0</v>
      </c>
      <c r="AQ13" s="883"/>
      <c r="AR13" s="37">
        <f>AQ13*$E13</f>
        <v>0</v>
      </c>
      <c r="AS13" s="96">
        <v>1</v>
      </c>
      <c r="AT13" s="35" t="str">
        <f>IF(AS13&gt;0,"x",".")</f>
        <v>x</v>
      </c>
      <c r="AU13" s="96">
        <v>1</v>
      </c>
      <c r="AV13" s="37"/>
      <c r="AW13" s="588">
        <f>IF(CA13&gt;0,((S13+AC13+AE13+AQ13)*(CB13/CA13)),0)</f>
        <v>0</v>
      </c>
      <c r="AX13" s="37">
        <f>AW13*E13</f>
        <v>0</v>
      </c>
      <c r="AY13" s="588">
        <f>IF(PF!V7&gt;0,(CF13),0)</f>
        <v>0</v>
      </c>
      <c r="AZ13" s="37">
        <f>AY13*E13</f>
        <v>0</v>
      </c>
      <c r="BA13" s="589">
        <f>IF(AW13&gt;0,CC13+CI13,0)</f>
        <v>0</v>
      </c>
      <c r="BB13" s="37"/>
      <c r="BC13" s="587">
        <f>IF(E13&gt;0,IF($BC$8=0,((S13+AC13+AE13+AK13+AO13+AQ13)+(S13+AC13+AE13+AK13+AO13+AQ13)*$BE$6)*$BC$6,(($BC$8+($BC$8*$BE$6))*$BC$6)),0)</f>
        <v>0</v>
      </c>
      <c r="BD13" s="37">
        <f>BC13*(E13+BA13)</f>
        <v>0</v>
      </c>
      <c r="BE13" s="979">
        <f>IF(E13&gt;0,SUM(T13,AC13,AE13,AK13,AO13,AQ13,AW13,AY13,BC13),0)</f>
        <v>0</v>
      </c>
      <c r="BF13" s="86">
        <f>BE13*E13</f>
        <v>0</v>
      </c>
      <c r="BG13" s="953">
        <f>(BE13-BC13)*'E S'!$F$47</f>
        <v>0</v>
      </c>
      <c r="BH13" s="954"/>
      <c r="BI13" s="953">
        <f>SUM(BE13,BG13)</f>
        <v>0</v>
      </c>
      <c r="BJ13" s="955"/>
      <c r="BK13" s="953">
        <f>BI13*E13</f>
        <v>0</v>
      </c>
      <c r="BL13" s="955">
        <f>IF(E13&gt;0,BD13/E13,0)</f>
        <v>0</v>
      </c>
      <c r="BM13" s="954"/>
      <c r="BN13" s="954"/>
      <c r="BO13" s="954"/>
      <c r="BP13" s="954">
        <v>1</v>
      </c>
      <c r="BQ13" s="956">
        <f>IF(E13&gt;0,((AK13/$BT$6)*$K$8),0)</f>
        <v>0</v>
      </c>
      <c r="BR13" s="954">
        <v>2</v>
      </c>
      <c r="BS13" s="956">
        <f>IF(E13&gt;0,(T13+AC13+AK13+AE13)/$BT$6*$K$8,0)</f>
        <v>0</v>
      </c>
      <c r="BT13" s="954">
        <v>3</v>
      </c>
      <c r="BU13" s="956">
        <f>IF($E13&gt;0,(BQ13*$O$6)+BQ13,0)</f>
        <v>0</v>
      </c>
      <c r="BV13" s="954">
        <v>4</v>
      </c>
      <c r="BW13" s="956">
        <f>IF(E13&gt;0,(BS13*$O$6)+BS13,0)</f>
        <v>0</v>
      </c>
      <c r="BX13" s="954">
        <v>5</v>
      </c>
      <c r="BY13" s="956">
        <f>IF($E13&gt;0,U13*$O$8*Q13*G13*7.5/52.5,0)</f>
        <v>0</v>
      </c>
      <c r="BZ13" s="954">
        <f>IF(CA13&gt;0,CA13,G13)</f>
        <v>15</v>
      </c>
      <c r="CA13" s="957">
        <f>IF(AS13&gt;0,ROUNDUP((AS13*(30/(AS13+AU13))),0),0)</f>
        <v>15</v>
      </c>
      <c r="CB13" s="957">
        <f>IF(CA13&gt;0,30-CA13,0)</f>
        <v>15</v>
      </c>
      <c r="CC13" s="954">
        <f>IF(AW13&gt;0,((CB13*E13)/CA13),0)</f>
        <v>0</v>
      </c>
      <c r="CD13" s="958">
        <f>IF(AW13&gt;0,((0.5*(E13+CC13))/CA13),0)</f>
        <v>0</v>
      </c>
      <c r="CE13" s="959">
        <f>1*(CA13+CB13)</f>
        <v>30</v>
      </c>
      <c r="CF13" s="960">
        <f>IF(CE13&gt;0,((S13+AC13+AE13+AO13+AQ13)/M13)*CE13,0)</f>
        <v>0</v>
      </c>
      <c r="CG13" s="960">
        <f>IF(CF13&gt;0,(CF13*E13)/CH13,0)</f>
        <v>0</v>
      </c>
      <c r="CH13" s="960">
        <f>IF(CF13&gt;0,(CF13/CE13)*M13,0)</f>
        <v>0</v>
      </c>
      <c r="CI13" s="955">
        <f>IF(AY13&gt;0,CG13,0)</f>
        <v>0</v>
      </c>
      <c r="CJ13" s="955">
        <f>IF(CI13&gt;0,CG13,0)</f>
        <v>0</v>
      </c>
      <c r="CK13" s="954"/>
      <c r="CL13" s="964"/>
      <c r="CM13" s="965" t="s">
        <v>608</v>
      </c>
      <c r="CN13" s="966">
        <f>Y13*W13</f>
        <v>0</v>
      </c>
      <c r="CO13" s="965" t="s">
        <v>609</v>
      </c>
      <c r="CP13" s="966">
        <f>Y13*T13</f>
        <v>0</v>
      </c>
      <c r="CQ13" s="965" t="s">
        <v>610</v>
      </c>
      <c r="CR13" s="956">
        <f>IF(W13&gt;0,Y13*W13,Y13*T13)</f>
        <v>0</v>
      </c>
      <c r="CS13" s="964">
        <f t="shared" ref="CS13:CS57" si="0">IF(E13&gt;=0,IF(AA13="P",CP13,IF(AA13="i",CN13,IF(AA13="r",CR13,0))))</f>
        <v>0</v>
      </c>
      <c r="CT13" s="964"/>
      <c r="CU13" s="935"/>
      <c r="CV13" s="935"/>
      <c r="CW13" s="935"/>
      <c r="CX13" s="935"/>
      <c r="CY13" s="935"/>
      <c r="CZ13" s="935"/>
      <c r="DA13" s="935"/>
      <c r="DB13" s="935"/>
      <c r="DC13" s="935"/>
      <c r="DD13" s="935"/>
      <c r="DE13" s="935"/>
    </row>
    <row r="14" spans="1:109" s="3" customFormat="1" ht="24">
      <c r="A14" s="1">
        <v>2</v>
      </c>
      <c r="B14" s="80" t="s">
        <v>629</v>
      </c>
      <c r="E14" s="80">
        <v>2</v>
      </c>
      <c r="G14" s="80">
        <v>30</v>
      </c>
      <c r="I14" s="83">
        <v>0.79166666666666663</v>
      </c>
      <c r="J14" s="35" t="str">
        <f t="shared" ref="J14:J54" si="1">IF(I14&gt;0,"às",".")</f>
        <v>às</v>
      </c>
      <c r="K14" s="83">
        <v>0.29166666666666669</v>
      </c>
      <c r="L14" s="85"/>
      <c r="M14" s="80">
        <v>220</v>
      </c>
      <c r="N14" s="66"/>
      <c r="O14" s="593">
        <f t="shared" ref="O14:O55" si="2">IF(M14&gt;0,M14,0)</f>
        <v>220</v>
      </c>
      <c r="P14" s="66"/>
      <c r="Q14" s="80">
        <v>7</v>
      </c>
      <c r="R14" s="86">
        <f t="shared" ref="R14:R56" si="3">T14*E14</f>
        <v>0</v>
      </c>
      <c r="S14" s="87"/>
      <c r="T14" s="38">
        <f t="shared" ref="T14:T56" si="4">IF(M14&gt;0,(S14/M14)*O14,0)</f>
        <v>0</v>
      </c>
      <c r="U14" s="969">
        <f t="shared" ref="U14:U56" si="5">IF(S14&gt;0,S14/M14,0)</f>
        <v>0</v>
      </c>
      <c r="V14" s="38"/>
      <c r="W14" s="92"/>
      <c r="X14" s="93">
        <f t="shared" ref="X14:X56" si="6">IF(M14&gt;0,(W14/M14)*O14,0)</f>
        <v>0</v>
      </c>
      <c r="Y14" s="94"/>
      <c r="Z14" s="66"/>
      <c r="AA14" s="95"/>
      <c r="AC14" s="586">
        <f t="shared" ref="AC14:AC56" si="7">IF(CS14&gt;0,CS14,0)</f>
        <v>0</v>
      </c>
      <c r="AD14" s="37">
        <f t="shared" ref="AD14:AD56" si="8">AC14*E14</f>
        <v>0</v>
      </c>
      <c r="AE14" s="594"/>
      <c r="AF14" s="925"/>
      <c r="AG14" s="967">
        <f t="shared" ref="AG14:AG56" si="9">Q14*1.173537*G14</f>
        <v>246.44277000000002</v>
      </c>
      <c r="AH14" s="968"/>
      <c r="AI14" s="969">
        <f t="shared" ref="AI14:AI56" si="10">ROUNDDOWN(IF(Q14&gt;0,((T14+AC14+AE14)/M14)*$K$6,0),2)</f>
        <v>0</v>
      </c>
      <c r="AJ14" s="595">
        <f t="shared" ref="AJ14:AJ56" si="11">AE14*E14</f>
        <v>0</v>
      </c>
      <c r="AK14" s="588">
        <f t="shared" ref="AK14:AK56" si="12">ROUND(IF(E14&gt;0,(AI14*AG14),0),2)</f>
        <v>0</v>
      </c>
      <c r="AL14" s="595">
        <f t="shared" ref="AL14:AL56" si="13">AK14*$E14</f>
        <v>0</v>
      </c>
      <c r="AM14" s="96"/>
      <c r="AN14" s="37"/>
      <c r="AO14" s="588">
        <f t="shared" ref="AO14:AO56" si="14">IF($AM14&gt;=1,CHOOSE($AM14,BQ14,BS14,BU14,BW14,BY14),0)</f>
        <v>0</v>
      </c>
      <c r="AP14" s="37">
        <f t="shared" ref="AP14:AP56" si="15">AO14*E14</f>
        <v>0</v>
      </c>
      <c r="AQ14" s="883"/>
      <c r="AR14" s="37">
        <f t="shared" ref="AR14:AR56" si="16">AQ14*$E14</f>
        <v>0</v>
      </c>
      <c r="AS14" s="96">
        <v>1</v>
      </c>
      <c r="AT14" s="35" t="str">
        <f t="shared" ref="AT14:AT56" si="17">IF(AS14&gt;0,"x",".")</f>
        <v>x</v>
      </c>
      <c r="AU14" s="96">
        <v>1</v>
      </c>
      <c r="AV14" s="37"/>
      <c r="AW14" s="588">
        <f t="shared" ref="AW14:AW56" si="18">IF(CA14&gt;0,((S14+AC14+AE14+AQ14)*(CB14/CA14)),0)</f>
        <v>0</v>
      </c>
      <c r="AX14" s="37">
        <f t="shared" ref="AX14:AX56" si="19">AW14*E14</f>
        <v>0</v>
      </c>
      <c r="AY14" s="588">
        <f>IF(PF!V8&gt;0,(CF14),0)</f>
        <v>0</v>
      </c>
      <c r="AZ14" s="37">
        <f t="shared" ref="AZ14:AZ56" si="20">AY14*E14</f>
        <v>0</v>
      </c>
      <c r="BA14" s="589">
        <f t="shared" ref="BA14:BA56" si="21">IF(AW14&gt;0,CC14+CI14,0)</f>
        <v>0</v>
      </c>
      <c r="BB14" s="37"/>
      <c r="BC14" s="587">
        <f t="shared" ref="BC14:BC56" si="22">IF(E14&gt;0,IF($BC$8=0,((S14+AC14+AE14+AK14+AO14+AQ14)+(S14+AC14+AE14+AK14+AO14+AQ14)*$BE$6)*$BC$6,(($BC$8+($BC$8*$BE$6))*$BC$6)),0)</f>
        <v>0</v>
      </c>
      <c r="BD14" s="37">
        <f t="shared" ref="BD14:BD56" si="23">BC14*(E14+BA14)</f>
        <v>0</v>
      </c>
      <c r="BE14" s="979">
        <f t="shared" ref="BE14:BE56" si="24">IF(E14&gt;0,SUM(T14,AC14,AE14,AK14,AO14,AQ14,AW14,AY14,BC14),0)</f>
        <v>0</v>
      </c>
      <c r="BF14" s="86">
        <f t="shared" ref="BF14:BF56" si="25">BE14*E14</f>
        <v>0</v>
      </c>
      <c r="BG14" s="953">
        <f>(BE14-BC14)*'E S'!$F$47</f>
        <v>0</v>
      </c>
      <c r="BH14" s="954"/>
      <c r="BI14" s="953">
        <f t="shared" ref="BI14:BI56" si="26">SUM(BE14,BG14)</f>
        <v>0</v>
      </c>
      <c r="BJ14" s="955"/>
      <c r="BK14" s="953">
        <f t="shared" ref="BK14:BK56" si="27">BI14*E14</f>
        <v>0</v>
      </c>
      <c r="BL14" s="955">
        <f t="shared" ref="BL14:BL56" si="28">IF(E14&gt;0,BD14/E14,0)</f>
        <v>0</v>
      </c>
      <c r="BM14" s="954"/>
      <c r="BN14" s="954"/>
      <c r="BO14" s="954"/>
      <c r="BP14" s="954">
        <v>1</v>
      </c>
      <c r="BQ14" s="956">
        <f t="shared" ref="BQ14:BQ56" si="29">IF(E14&gt;0,((AK14/$BT$6)*$K$8),0)</f>
        <v>0</v>
      </c>
      <c r="BR14" s="954">
        <v>2</v>
      </c>
      <c r="BS14" s="956">
        <f t="shared" ref="BS14:BS56" si="30">IF(E14&gt;0,(T14+AC14+AK14+AE14)/$BT$6*$K$8,0)</f>
        <v>0</v>
      </c>
      <c r="BT14" s="954">
        <v>3</v>
      </c>
      <c r="BU14" s="956">
        <f t="shared" ref="BU14:BU56" si="31">IF($E14&gt;0,(BQ14*$O$6)+BQ14,0)</f>
        <v>0</v>
      </c>
      <c r="BV14" s="954">
        <v>4</v>
      </c>
      <c r="BW14" s="956">
        <f t="shared" ref="BW14:BW56" si="32">IF(E14&gt;0,(BS14*$O$6)+BS14,0)</f>
        <v>0</v>
      </c>
      <c r="BX14" s="954">
        <v>5</v>
      </c>
      <c r="BY14" s="956">
        <f t="shared" ref="BY14:BY56" si="33">IF($E14&gt;0,U14*$O$8*Q14*G14*7.5/52.5,0)</f>
        <v>0</v>
      </c>
      <c r="BZ14" s="954">
        <f t="shared" ref="BZ14:BZ57" si="34">IF(CA14&gt;0,CA14,G14)</f>
        <v>15</v>
      </c>
      <c r="CA14" s="957">
        <f t="shared" ref="CA14:CA56" si="35">IF(AS14&gt;0,ROUNDUP((AS14*(30/(AS14+AU14))),0),0)</f>
        <v>15</v>
      </c>
      <c r="CB14" s="957">
        <f t="shared" ref="CB14:CB56" si="36">IF(CA14&gt;0,30-CA14,0)</f>
        <v>15</v>
      </c>
      <c r="CC14" s="954">
        <f t="shared" ref="CC14:CC56" si="37">IF(AW14&gt;0,((CB14*E14)/CA14),0)</f>
        <v>0</v>
      </c>
      <c r="CD14" s="958">
        <f t="shared" ref="CD14:CD56" si="38">IF(AW14&gt;0,((0.5*(E14+CC14))/CA14),0)</f>
        <v>0</v>
      </c>
      <c r="CE14" s="959">
        <f t="shared" ref="CE14:CE56" si="39">1*(CA14+CB14)</f>
        <v>30</v>
      </c>
      <c r="CF14" s="960">
        <f t="shared" ref="CF14:CF56" si="40">IF(CE14&gt;0,((S14+AC14+AE14+AO14+AQ14)/M14)*CE14,0)</f>
        <v>0</v>
      </c>
      <c r="CG14" s="960">
        <f t="shared" ref="CG14:CG56" si="41">IF(CF14&gt;0,(CF14*E14)/CH14,0)</f>
        <v>0</v>
      </c>
      <c r="CH14" s="960">
        <f t="shared" ref="CH14:CH56" si="42">IF(CF14&gt;0,(CF14/CE14)*M14,0)</f>
        <v>0</v>
      </c>
      <c r="CI14" s="955">
        <f t="shared" ref="CI14:CI56" si="43">IF(AY14&gt;0,CG14,0)</f>
        <v>0</v>
      </c>
      <c r="CJ14" s="955">
        <f t="shared" ref="CJ14:CJ56" si="44">IF(CI14&gt;0,CG14,0)</f>
        <v>0</v>
      </c>
      <c r="CK14" s="954"/>
      <c r="CL14" s="964"/>
      <c r="CM14" s="965" t="s">
        <v>608</v>
      </c>
      <c r="CN14" s="966">
        <f t="shared" ref="CN14:CN57" si="45">Y14*W14</f>
        <v>0</v>
      </c>
      <c r="CO14" s="965" t="s">
        <v>609</v>
      </c>
      <c r="CP14" s="966">
        <f t="shared" ref="CP14:CP57" si="46">Y14*T14</f>
        <v>0</v>
      </c>
      <c r="CQ14" s="965" t="s">
        <v>610</v>
      </c>
      <c r="CR14" s="956">
        <f t="shared" ref="CR14:CR57" si="47">IF(W14&gt;0,Y14*W14,Y14*T14)</f>
        <v>0</v>
      </c>
      <c r="CS14" s="964">
        <f t="shared" si="0"/>
        <v>0</v>
      </c>
      <c r="CT14" s="964"/>
      <c r="CU14" s="935"/>
      <c r="CV14" s="935"/>
      <c r="CW14" s="935"/>
      <c r="CX14" s="935"/>
      <c r="CY14" s="935"/>
      <c r="CZ14" s="935"/>
      <c r="DA14" s="935"/>
      <c r="DB14" s="935"/>
      <c r="DC14" s="935"/>
      <c r="DD14" s="935"/>
      <c r="DE14" s="935"/>
    </row>
    <row r="15" spans="1:109" s="3" customFormat="1" ht="24">
      <c r="A15" s="1">
        <v>3</v>
      </c>
      <c r="B15" s="80" t="s">
        <v>619</v>
      </c>
      <c r="E15" s="80">
        <v>2</v>
      </c>
      <c r="G15" s="80">
        <v>30</v>
      </c>
      <c r="I15" s="83">
        <v>0.29166666666666669</v>
      </c>
      <c r="J15" s="35" t="str">
        <f t="shared" si="1"/>
        <v>às</v>
      </c>
      <c r="K15" s="83">
        <v>0.79166666666666663</v>
      </c>
      <c r="L15" s="85"/>
      <c r="M15" s="80">
        <f>M14</f>
        <v>220</v>
      </c>
      <c r="N15" s="66"/>
      <c r="O15" s="593">
        <f t="shared" si="2"/>
        <v>220</v>
      </c>
      <c r="P15" s="66"/>
      <c r="Q15" s="80"/>
      <c r="R15" s="86">
        <f t="shared" si="3"/>
        <v>0</v>
      </c>
      <c r="S15" s="87"/>
      <c r="T15" s="38">
        <f t="shared" si="4"/>
        <v>0</v>
      </c>
      <c r="U15" s="969">
        <f t="shared" si="5"/>
        <v>0</v>
      </c>
      <c r="V15" s="38"/>
      <c r="W15" s="92"/>
      <c r="X15" s="93">
        <f t="shared" si="6"/>
        <v>0</v>
      </c>
      <c r="Y15" s="94"/>
      <c r="Z15" s="66"/>
      <c r="AA15" s="95"/>
      <c r="AC15" s="586">
        <f t="shared" si="7"/>
        <v>0</v>
      </c>
      <c r="AD15" s="37">
        <f t="shared" si="8"/>
        <v>0</v>
      </c>
      <c r="AE15" s="594"/>
      <c r="AF15" s="925"/>
      <c r="AG15" s="967">
        <f t="shared" si="9"/>
        <v>0</v>
      </c>
      <c r="AH15" s="968"/>
      <c r="AI15" s="969">
        <f t="shared" si="10"/>
        <v>0</v>
      </c>
      <c r="AJ15" s="595">
        <f t="shared" si="11"/>
        <v>0</v>
      </c>
      <c r="AK15" s="588">
        <f t="shared" si="12"/>
        <v>0</v>
      </c>
      <c r="AL15" s="595">
        <f t="shared" si="13"/>
        <v>0</v>
      </c>
      <c r="AM15" s="96"/>
      <c r="AN15" s="37"/>
      <c r="AO15" s="588">
        <f t="shared" si="14"/>
        <v>0</v>
      </c>
      <c r="AP15" s="37">
        <f t="shared" si="15"/>
        <v>0</v>
      </c>
      <c r="AQ15" s="883"/>
      <c r="AR15" s="37">
        <f t="shared" si="16"/>
        <v>0</v>
      </c>
      <c r="AS15" s="96">
        <f>AS14</f>
        <v>1</v>
      </c>
      <c r="AT15" s="35" t="str">
        <f t="shared" si="17"/>
        <v>x</v>
      </c>
      <c r="AU15" s="96">
        <f>AU14</f>
        <v>1</v>
      </c>
      <c r="AV15" s="37"/>
      <c r="AW15" s="588">
        <f t="shared" si="18"/>
        <v>0</v>
      </c>
      <c r="AX15" s="37">
        <f t="shared" si="19"/>
        <v>0</v>
      </c>
      <c r="AY15" s="588">
        <f>IF(PF!V9&gt;0,(CF15),0)</f>
        <v>0</v>
      </c>
      <c r="AZ15" s="37">
        <f t="shared" si="20"/>
        <v>0</v>
      </c>
      <c r="BA15" s="589">
        <f t="shared" si="21"/>
        <v>0</v>
      </c>
      <c r="BB15" s="37"/>
      <c r="BC15" s="587">
        <f t="shared" si="22"/>
        <v>0</v>
      </c>
      <c r="BD15" s="37">
        <f t="shared" si="23"/>
        <v>0</v>
      </c>
      <c r="BE15" s="979">
        <f t="shared" si="24"/>
        <v>0</v>
      </c>
      <c r="BF15" s="86">
        <f t="shared" si="25"/>
        <v>0</v>
      </c>
      <c r="BG15" s="953">
        <f>(BE15-BC15)*'E S'!$F$47</f>
        <v>0</v>
      </c>
      <c r="BH15" s="954"/>
      <c r="BI15" s="953">
        <f t="shared" si="26"/>
        <v>0</v>
      </c>
      <c r="BJ15" s="955"/>
      <c r="BK15" s="953">
        <f t="shared" si="27"/>
        <v>0</v>
      </c>
      <c r="BL15" s="955">
        <f t="shared" si="28"/>
        <v>0</v>
      </c>
      <c r="BM15" s="954"/>
      <c r="BN15" s="954"/>
      <c r="BO15" s="954"/>
      <c r="BP15" s="954">
        <v>1</v>
      </c>
      <c r="BQ15" s="956">
        <f t="shared" si="29"/>
        <v>0</v>
      </c>
      <c r="BR15" s="954">
        <v>2</v>
      </c>
      <c r="BS15" s="956">
        <f t="shared" si="30"/>
        <v>0</v>
      </c>
      <c r="BT15" s="954">
        <v>3</v>
      </c>
      <c r="BU15" s="956">
        <f t="shared" si="31"/>
        <v>0</v>
      </c>
      <c r="BV15" s="954">
        <v>4</v>
      </c>
      <c r="BW15" s="956">
        <f t="shared" si="32"/>
        <v>0</v>
      </c>
      <c r="BX15" s="954">
        <v>5</v>
      </c>
      <c r="BY15" s="956">
        <f t="shared" si="33"/>
        <v>0</v>
      </c>
      <c r="BZ15" s="954">
        <f t="shared" si="34"/>
        <v>15</v>
      </c>
      <c r="CA15" s="957">
        <f t="shared" si="35"/>
        <v>15</v>
      </c>
      <c r="CB15" s="957">
        <f t="shared" si="36"/>
        <v>15</v>
      </c>
      <c r="CC15" s="954">
        <f t="shared" si="37"/>
        <v>0</v>
      </c>
      <c r="CD15" s="958">
        <f t="shared" si="38"/>
        <v>0</v>
      </c>
      <c r="CE15" s="959">
        <f t="shared" si="39"/>
        <v>30</v>
      </c>
      <c r="CF15" s="960">
        <f t="shared" si="40"/>
        <v>0</v>
      </c>
      <c r="CG15" s="960">
        <f t="shared" si="41"/>
        <v>0</v>
      </c>
      <c r="CH15" s="960">
        <f t="shared" si="42"/>
        <v>0</v>
      </c>
      <c r="CI15" s="955">
        <f t="shared" si="43"/>
        <v>0</v>
      </c>
      <c r="CJ15" s="955">
        <f t="shared" si="44"/>
        <v>0</v>
      </c>
      <c r="CK15" s="954"/>
      <c r="CL15" s="964"/>
      <c r="CM15" s="965" t="s">
        <v>608</v>
      </c>
      <c r="CN15" s="966">
        <f t="shared" si="45"/>
        <v>0</v>
      </c>
      <c r="CO15" s="965" t="s">
        <v>609</v>
      </c>
      <c r="CP15" s="966">
        <f t="shared" si="46"/>
        <v>0</v>
      </c>
      <c r="CQ15" s="965" t="s">
        <v>610</v>
      </c>
      <c r="CR15" s="956">
        <f t="shared" si="47"/>
        <v>0</v>
      </c>
      <c r="CS15" s="964">
        <f t="shared" si="0"/>
        <v>0</v>
      </c>
      <c r="CT15" s="964"/>
      <c r="CU15" s="935"/>
      <c r="CV15" s="935"/>
      <c r="CW15" s="935"/>
      <c r="CX15" s="935"/>
      <c r="CY15" s="935"/>
      <c r="CZ15" s="935"/>
      <c r="DA15" s="935"/>
      <c r="DB15" s="935"/>
      <c r="DC15" s="935"/>
      <c r="DD15" s="935"/>
      <c r="DE15" s="935"/>
    </row>
    <row r="16" spans="1:109" s="3" customFormat="1" ht="24">
      <c r="A16" s="1">
        <v>4</v>
      </c>
      <c r="B16" s="80" t="s">
        <v>620</v>
      </c>
      <c r="E16" s="80">
        <v>2</v>
      </c>
      <c r="G16" s="80">
        <v>30</v>
      </c>
      <c r="I16" s="83">
        <v>0.79166666666666663</v>
      </c>
      <c r="J16" s="35" t="str">
        <f t="shared" si="1"/>
        <v>às</v>
      </c>
      <c r="K16" s="83">
        <v>0.29166666666666669</v>
      </c>
      <c r="L16" s="85"/>
      <c r="M16" s="80">
        <f t="shared" ref="M16:M24" si="48">M15</f>
        <v>220</v>
      </c>
      <c r="N16" s="66"/>
      <c r="O16" s="593">
        <f t="shared" si="2"/>
        <v>220</v>
      </c>
      <c r="P16" s="66"/>
      <c r="Q16" s="80">
        <v>7</v>
      </c>
      <c r="R16" s="86">
        <f t="shared" si="3"/>
        <v>0</v>
      </c>
      <c r="S16" s="87"/>
      <c r="T16" s="38">
        <f t="shared" si="4"/>
        <v>0</v>
      </c>
      <c r="U16" s="969">
        <f t="shared" si="5"/>
        <v>0</v>
      </c>
      <c r="V16" s="38"/>
      <c r="W16" s="92"/>
      <c r="X16" s="93">
        <f t="shared" si="6"/>
        <v>0</v>
      </c>
      <c r="Y16" s="94"/>
      <c r="Z16" s="66"/>
      <c r="AA16" s="95"/>
      <c r="AC16" s="586">
        <f t="shared" si="7"/>
        <v>0</v>
      </c>
      <c r="AD16" s="37">
        <f t="shared" si="8"/>
        <v>0</v>
      </c>
      <c r="AE16" s="594"/>
      <c r="AF16" s="925"/>
      <c r="AG16" s="967">
        <f t="shared" si="9"/>
        <v>246.44277000000002</v>
      </c>
      <c r="AH16" s="968"/>
      <c r="AI16" s="969">
        <f t="shared" si="10"/>
        <v>0</v>
      </c>
      <c r="AJ16" s="595">
        <f t="shared" si="11"/>
        <v>0</v>
      </c>
      <c r="AK16" s="588">
        <f t="shared" si="12"/>
        <v>0</v>
      </c>
      <c r="AL16" s="595">
        <f t="shared" si="13"/>
        <v>0</v>
      </c>
      <c r="AM16" s="96"/>
      <c r="AN16" s="37"/>
      <c r="AO16" s="588">
        <f t="shared" si="14"/>
        <v>0</v>
      </c>
      <c r="AP16" s="37">
        <f t="shared" si="15"/>
        <v>0</v>
      </c>
      <c r="AQ16" s="883"/>
      <c r="AR16" s="37">
        <f t="shared" si="16"/>
        <v>0</v>
      </c>
      <c r="AS16" s="96">
        <f t="shared" ref="AS16:AS24" si="49">AS15</f>
        <v>1</v>
      </c>
      <c r="AT16" s="35" t="str">
        <f t="shared" si="17"/>
        <v>x</v>
      </c>
      <c r="AU16" s="96">
        <f t="shared" ref="AU16:AU24" si="50">AU15</f>
        <v>1</v>
      </c>
      <c r="AV16" s="37"/>
      <c r="AW16" s="588">
        <f t="shared" si="18"/>
        <v>0</v>
      </c>
      <c r="AX16" s="37">
        <f t="shared" si="19"/>
        <v>0</v>
      </c>
      <c r="AY16" s="588">
        <f>IF(PF!V10&gt;0,(CF16),0)</f>
        <v>0</v>
      </c>
      <c r="AZ16" s="37">
        <f t="shared" si="20"/>
        <v>0</v>
      </c>
      <c r="BA16" s="589">
        <f t="shared" si="21"/>
        <v>0</v>
      </c>
      <c r="BB16" s="37"/>
      <c r="BC16" s="587">
        <f t="shared" si="22"/>
        <v>0</v>
      </c>
      <c r="BD16" s="37">
        <f t="shared" si="23"/>
        <v>0</v>
      </c>
      <c r="BE16" s="979">
        <f t="shared" si="24"/>
        <v>0</v>
      </c>
      <c r="BF16" s="86">
        <f t="shared" si="25"/>
        <v>0</v>
      </c>
      <c r="BG16" s="953">
        <f>(BE16-BC16)*'E S'!$F$47</f>
        <v>0</v>
      </c>
      <c r="BH16" s="954"/>
      <c r="BI16" s="953">
        <f t="shared" si="26"/>
        <v>0</v>
      </c>
      <c r="BJ16" s="955"/>
      <c r="BK16" s="953">
        <f t="shared" si="27"/>
        <v>0</v>
      </c>
      <c r="BL16" s="955">
        <f t="shared" si="28"/>
        <v>0</v>
      </c>
      <c r="BM16" s="954"/>
      <c r="BN16" s="954"/>
      <c r="BO16" s="954"/>
      <c r="BP16" s="954">
        <v>1</v>
      </c>
      <c r="BQ16" s="956">
        <f t="shared" si="29"/>
        <v>0</v>
      </c>
      <c r="BR16" s="954">
        <v>2</v>
      </c>
      <c r="BS16" s="956">
        <f t="shared" si="30"/>
        <v>0</v>
      </c>
      <c r="BT16" s="954">
        <v>3</v>
      </c>
      <c r="BU16" s="956">
        <f t="shared" si="31"/>
        <v>0</v>
      </c>
      <c r="BV16" s="954">
        <v>4</v>
      </c>
      <c r="BW16" s="956">
        <f t="shared" si="32"/>
        <v>0</v>
      </c>
      <c r="BX16" s="954">
        <v>5</v>
      </c>
      <c r="BY16" s="956">
        <f t="shared" si="33"/>
        <v>0</v>
      </c>
      <c r="BZ16" s="954">
        <f t="shared" si="34"/>
        <v>15</v>
      </c>
      <c r="CA16" s="957">
        <f t="shared" si="35"/>
        <v>15</v>
      </c>
      <c r="CB16" s="957">
        <f t="shared" si="36"/>
        <v>15</v>
      </c>
      <c r="CC16" s="954">
        <f t="shared" si="37"/>
        <v>0</v>
      </c>
      <c r="CD16" s="958">
        <f t="shared" si="38"/>
        <v>0</v>
      </c>
      <c r="CE16" s="959">
        <f t="shared" si="39"/>
        <v>30</v>
      </c>
      <c r="CF16" s="960">
        <f t="shared" si="40"/>
        <v>0</v>
      </c>
      <c r="CG16" s="960">
        <f t="shared" si="41"/>
        <v>0</v>
      </c>
      <c r="CH16" s="960">
        <f t="shared" si="42"/>
        <v>0</v>
      </c>
      <c r="CI16" s="955">
        <f t="shared" si="43"/>
        <v>0</v>
      </c>
      <c r="CJ16" s="955">
        <f t="shared" si="44"/>
        <v>0</v>
      </c>
      <c r="CK16" s="954"/>
      <c r="CL16" s="964"/>
      <c r="CM16" s="965" t="s">
        <v>608</v>
      </c>
      <c r="CN16" s="966">
        <f t="shared" si="45"/>
        <v>0</v>
      </c>
      <c r="CO16" s="965" t="s">
        <v>609</v>
      </c>
      <c r="CP16" s="966">
        <f t="shared" si="46"/>
        <v>0</v>
      </c>
      <c r="CQ16" s="965" t="s">
        <v>610</v>
      </c>
      <c r="CR16" s="956">
        <f t="shared" si="47"/>
        <v>0</v>
      </c>
      <c r="CS16" s="964">
        <f t="shared" si="0"/>
        <v>0</v>
      </c>
      <c r="CT16" s="964"/>
      <c r="CU16" s="935"/>
      <c r="CV16" s="935"/>
      <c r="CW16" s="935"/>
      <c r="CX16" s="935"/>
      <c r="CY16" s="935"/>
      <c r="CZ16" s="935"/>
      <c r="DA16" s="935"/>
      <c r="DB16" s="935"/>
      <c r="DC16" s="935"/>
      <c r="DD16" s="935"/>
      <c r="DE16" s="935"/>
    </row>
    <row r="17" spans="1:109" s="3" customFormat="1" ht="24">
      <c r="A17" s="1">
        <v>5</v>
      </c>
      <c r="B17" s="80" t="s">
        <v>621</v>
      </c>
      <c r="E17" s="80">
        <v>2</v>
      </c>
      <c r="G17" s="80">
        <v>30</v>
      </c>
      <c r="I17" s="83">
        <v>0.29166666666666669</v>
      </c>
      <c r="J17" s="35" t="str">
        <f t="shared" si="1"/>
        <v>às</v>
      </c>
      <c r="K17" s="83">
        <v>0.79166666666666663</v>
      </c>
      <c r="L17" s="85"/>
      <c r="M17" s="80">
        <f t="shared" si="48"/>
        <v>220</v>
      </c>
      <c r="N17" s="66"/>
      <c r="O17" s="593">
        <f t="shared" si="2"/>
        <v>220</v>
      </c>
      <c r="P17" s="66"/>
      <c r="Q17" s="80"/>
      <c r="R17" s="86">
        <f t="shared" si="3"/>
        <v>0</v>
      </c>
      <c r="S17" s="87"/>
      <c r="T17" s="38">
        <f t="shared" si="4"/>
        <v>0</v>
      </c>
      <c r="U17" s="969">
        <f t="shared" si="5"/>
        <v>0</v>
      </c>
      <c r="V17" s="38"/>
      <c r="W17" s="92"/>
      <c r="X17" s="93">
        <f t="shared" si="6"/>
        <v>0</v>
      </c>
      <c r="Y17" s="94"/>
      <c r="Z17" s="66"/>
      <c r="AA17" s="95"/>
      <c r="AC17" s="586">
        <f t="shared" si="7"/>
        <v>0</v>
      </c>
      <c r="AD17" s="37">
        <f t="shared" si="8"/>
        <v>0</v>
      </c>
      <c r="AE17" s="594"/>
      <c r="AF17" s="925"/>
      <c r="AG17" s="967">
        <f t="shared" si="9"/>
        <v>0</v>
      </c>
      <c r="AH17" s="968"/>
      <c r="AI17" s="969">
        <f t="shared" si="10"/>
        <v>0</v>
      </c>
      <c r="AJ17" s="595">
        <f t="shared" si="11"/>
        <v>0</v>
      </c>
      <c r="AK17" s="588">
        <f t="shared" si="12"/>
        <v>0</v>
      </c>
      <c r="AL17" s="595">
        <f t="shared" si="13"/>
        <v>0</v>
      </c>
      <c r="AM17" s="96"/>
      <c r="AN17" s="37"/>
      <c r="AO17" s="588">
        <f t="shared" si="14"/>
        <v>0</v>
      </c>
      <c r="AP17" s="37">
        <f t="shared" si="15"/>
        <v>0</v>
      </c>
      <c r="AQ17" s="883"/>
      <c r="AR17" s="37">
        <f t="shared" si="16"/>
        <v>0</v>
      </c>
      <c r="AS17" s="96">
        <f t="shared" si="49"/>
        <v>1</v>
      </c>
      <c r="AT17" s="35" t="str">
        <f t="shared" si="17"/>
        <v>x</v>
      </c>
      <c r="AU17" s="96">
        <f t="shared" si="50"/>
        <v>1</v>
      </c>
      <c r="AV17" s="37"/>
      <c r="AW17" s="588">
        <f t="shared" si="18"/>
        <v>0</v>
      </c>
      <c r="AX17" s="37">
        <f t="shared" si="19"/>
        <v>0</v>
      </c>
      <c r="AY17" s="588">
        <f>IF(PF!V11&gt;0,(CF17),0)</f>
        <v>0</v>
      </c>
      <c r="AZ17" s="37">
        <f t="shared" si="20"/>
        <v>0</v>
      </c>
      <c r="BA17" s="589">
        <f t="shared" si="21"/>
        <v>0</v>
      </c>
      <c r="BB17" s="37"/>
      <c r="BC17" s="587">
        <f t="shared" si="22"/>
        <v>0</v>
      </c>
      <c r="BD17" s="37">
        <f t="shared" si="23"/>
        <v>0</v>
      </c>
      <c r="BE17" s="979">
        <f t="shared" si="24"/>
        <v>0</v>
      </c>
      <c r="BF17" s="86">
        <f t="shared" si="25"/>
        <v>0</v>
      </c>
      <c r="BG17" s="953">
        <f>(BE17-BC17)*'E S'!$F$47</f>
        <v>0</v>
      </c>
      <c r="BH17" s="954"/>
      <c r="BI17" s="953">
        <f t="shared" si="26"/>
        <v>0</v>
      </c>
      <c r="BJ17" s="955"/>
      <c r="BK17" s="953">
        <f t="shared" si="27"/>
        <v>0</v>
      </c>
      <c r="BL17" s="955">
        <f t="shared" si="28"/>
        <v>0</v>
      </c>
      <c r="BM17" s="954"/>
      <c r="BN17" s="954"/>
      <c r="BO17" s="954"/>
      <c r="BP17" s="954">
        <v>1</v>
      </c>
      <c r="BQ17" s="956">
        <f t="shared" si="29"/>
        <v>0</v>
      </c>
      <c r="BR17" s="954">
        <v>2</v>
      </c>
      <c r="BS17" s="956">
        <f t="shared" si="30"/>
        <v>0</v>
      </c>
      <c r="BT17" s="954">
        <v>3</v>
      </c>
      <c r="BU17" s="956">
        <f t="shared" si="31"/>
        <v>0</v>
      </c>
      <c r="BV17" s="954">
        <v>4</v>
      </c>
      <c r="BW17" s="956">
        <f t="shared" si="32"/>
        <v>0</v>
      </c>
      <c r="BX17" s="954">
        <v>5</v>
      </c>
      <c r="BY17" s="956">
        <f t="shared" si="33"/>
        <v>0</v>
      </c>
      <c r="BZ17" s="954">
        <f t="shared" si="34"/>
        <v>15</v>
      </c>
      <c r="CA17" s="957">
        <f t="shared" si="35"/>
        <v>15</v>
      </c>
      <c r="CB17" s="957">
        <f t="shared" si="36"/>
        <v>15</v>
      </c>
      <c r="CC17" s="954">
        <f t="shared" si="37"/>
        <v>0</v>
      </c>
      <c r="CD17" s="958">
        <f t="shared" si="38"/>
        <v>0</v>
      </c>
      <c r="CE17" s="959">
        <f t="shared" si="39"/>
        <v>30</v>
      </c>
      <c r="CF17" s="960">
        <f t="shared" si="40"/>
        <v>0</v>
      </c>
      <c r="CG17" s="960">
        <f t="shared" si="41"/>
        <v>0</v>
      </c>
      <c r="CH17" s="960">
        <f t="shared" si="42"/>
        <v>0</v>
      </c>
      <c r="CI17" s="955">
        <f t="shared" si="43"/>
        <v>0</v>
      </c>
      <c r="CJ17" s="955">
        <f t="shared" si="44"/>
        <v>0</v>
      </c>
      <c r="CK17" s="954"/>
      <c r="CL17" s="964"/>
      <c r="CM17" s="965" t="s">
        <v>608</v>
      </c>
      <c r="CN17" s="966">
        <f t="shared" si="45"/>
        <v>0</v>
      </c>
      <c r="CO17" s="965" t="s">
        <v>609</v>
      </c>
      <c r="CP17" s="966">
        <f t="shared" si="46"/>
        <v>0</v>
      </c>
      <c r="CQ17" s="965" t="s">
        <v>610</v>
      </c>
      <c r="CR17" s="956">
        <f t="shared" si="47"/>
        <v>0</v>
      </c>
      <c r="CS17" s="964">
        <f t="shared" si="0"/>
        <v>0</v>
      </c>
      <c r="CT17" s="964"/>
      <c r="CU17" s="935"/>
      <c r="CV17" s="935"/>
      <c r="CW17" s="935"/>
      <c r="CX17" s="935"/>
      <c r="CY17" s="935"/>
      <c r="CZ17" s="935"/>
      <c r="DA17" s="935"/>
      <c r="DB17" s="935"/>
      <c r="DC17" s="935"/>
      <c r="DD17" s="935"/>
      <c r="DE17" s="935"/>
    </row>
    <row r="18" spans="1:109" s="3" customFormat="1" ht="24">
      <c r="A18" s="1">
        <v>6</v>
      </c>
      <c r="B18" s="80" t="s">
        <v>622</v>
      </c>
      <c r="E18" s="80">
        <v>2</v>
      </c>
      <c r="G18" s="80">
        <v>30</v>
      </c>
      <c r="I18" s="83">
        <v>0.79166666666666663</v>
      </c>
      <c r="J18" s="35" t="str">
        <f t="shared" si="1"/>
        <v>às</v>
      </c>
      <c r="K18" s="83">
        <v>0.29166666666666669</v>
      </c>
      <c r="L18" s="85"/>
      <c r="M18" s="80">
        <f t="shared" si="48"/>
        <v>220</v>
      </c>
      <c r="N18" s="66"/>
      <c r="O18" s="593">
        <f t="shared" si="2"/>
        <v>220</v>
      </c>
      <c r="P18" s="66"/>
      <c r="Q18" s="80">
        <v>7</v>
      </c>
      <c r="R18" s="86">
        <f t="shared" si="3"/>
        <v>0</v>
      </c>
      <c r="S18" s="87"/>
      <c r="T18" s="38">
        <f t="shared" si="4"/>
        <v>0</v>
      </c>
      <c r="U18" s="969">
        <f t="shared" si="5"/>
        <v>0</v>
      </c>
      <c r="V18" s="38"/>
      <c r="W18" s="92"/>
      <c r="X18" s="93">
        <f t="shared" si="6"/>
        <v>0</v>
      </c>
      <c r="Y18" s="94"/>
      <c r="Z18" s="66"/>
      <c r="AA18" s="95"/>
      <c r="AC18" s="586">
        <f t="shared" si="7"/>
        <v>0</v>
      </c>
      <c r="AD18" s="37">
        <f t="shared" si="8"/>
        <v>0</v>
      </c>
      <c r="AE18" s="594"/>
      <c r="AF18" s="925"/>
      <c r="AG18" s="967">
        <f t="shared" si="9"/>
        <v>246.44277000000002</v>
      </c>
      <c r="AH18" s="968"/>
      <c r="AI18" s="969">
        <f t="shared" si="10"/>
        <v>0</v>
      </c>
      <c r="AJ18" s="595">
        <f t="shared" si="11"/>
        <v>0</v>
      </c>
      <c r="AK18" s="588">
        <f t="shared" si="12"/>
        <v>0</v>
      </c>
      <c r="AL18" s="595">
        <f t="shared" si="13"/>
        <v>0</v>
      </c>
      <c r="AM18" s="96"/>
      <c r="AN18" s="37"/>
      <c r="AO18" s="588">
        <f t="shared" si="14"/>
        <v>0</v>
      </c>
      <c r="AP18" s="37">
        <f t="shared" si="15"/>
        <v>0</v>
      </c>
      <c r="AQ18" s="883"/>
      <c r="AR18" s="37">
        <f t="shared" si="16"/>
        <v>0</v>
      </c>
      <c r="AS18" s="96">
        <f t="shared" si="49"/>
        <v>1</v>
      </c>
      <c r="AT18" s="35" t="str">
        <f t="shared" si="17"/>
        <v>x</v>
      </c>
      <c r="AU18" s="96">
        <f t="shared" si="50"/>
        <v>1</v>
      </c>
      <c r="AV18" s="37"/>
      <c r="AW18" s="588">
        <f t="shared" si="18"/>
        <v>0</v>
      </c>
      <c r="AX18" s="37">
        <f t="shared" si="19"/>
        <v>0</v>
      </c>
      <c r="AY18" s="588">
        <f>IF(PF!V12&gt;0,(CF18),0)</f>
        <v>0</v>
      </c>
      <c r="AZ18" s="37">
        <f t="shared" si="20"/>
        <v>0</v>
      </c>
      <c r="BA18" s="589">
        <f t="shared" si="21"/>
        <v>0</v>
      </c>
      <c r="BB18" s="37"/>
      <c r="BC18" s="587">
        <f t="shared" si="22"/>
        <v>0</v>
      </c>
      <c r="BD18" s="37">
        <f t="shared" si="23"/>
        <v>0</v>
      </c>
      <c r="BE18" s="979">
        <f t="shared" si="24"/>
        <v>0</v>
      </c>
      <c r="BF18" s="86">
        <f t="shared" si="25"/>
        <v>0</v>
      </c>
      <c r="BG18" s="953">
        <f>(BE18-BC18)*'E S'!$F$47</f>
        <v>0</v>
      </c>
      <c r="BH18" s="954"/>
      <c r="BI18" s="953">
        <f t="shared" si="26"/>
        <v>0</v>
      </c>
      <c r="BJ18" s="955"/>
      <c r="BK18" s="953">
        <f t="shared" si="27"/>
        <v>0</v>
      </c>
      <c r="BL18" s="955">
        <f t="shared" si="28"/>
        <v>0</v>
      </c>
      <c r="BM18" s="954"/>
      <c r="BN18" s="954"/>
      <c r="BO18" s="954"/>
      <c r="BP18" s="954">
        <v>1</v>
      </c>
      <c r="BQ18" s="956">
        <f t="shared" si="29"/>
        <v>0</v>
      </c>
      <c r="BR18" s="954">
        <v>2</v>
      </c>
      <c r="BS18" s="956">
        <f t="shared" si="30"/>
        <v>0</v>
      </c>
      <c r="BT18" s="954">
        <v>3</v>
      </c>
      <c r="BU18" s="956">
        <f t="shared" si="31"/>
        <v>0</v>
      </c>
      <c r="BV18" s="954">
        <v>4</v>
      </c>
      <c r="BW18" s="956">
        <f t="shared" si="32"/>
        <v>0</v>
      </c>
      <c r="BX18" s="954">
        <v>5</v>
      </c>
      <c r="BY18" s="956">
        <f t="shared" si="33"/>
        <v>0</v>
      </c>
      <c r="BZ18" s="954">
        <f t="shared" si="34"/>
        <v>15</v>
      </c>
      <c r="CA18" s="957">
        <f t="shared" si="35"/>
        <v>15</v>
      </c>
      <c r="CB18" s="957">
        <f t="shared" si="36"/>
        <v>15</v>
      </c>
      <c r="CC18" s="954">
        <f t="shared" si="37"/>
        <v>0</v>
      </c>
      <c r="CD18" s="958">
        <f t="shared" si="38"/>
        <v>0</v>
      </c>
      <c r="CE18" s="959">
        <f t="shared" si="39"/>
        <v>30</v>
      </c>
      <c r="CF18" s="960">
        <f t="shared" si="40"/>
        <v>0</v>
      </c>
      <c r="CG18" s="960">
        <f t="shared" si="41"/>
        <v>0</v>
      </c>
      <c r="CH18" s="960">
        <f t="shared" si="42"/>
        <v>0</v>
      </c>
      <c r="CI18" s="955">
        <f t="shared" si="43"/>
        <v>0</v>
      </c>
      <c r="CJ18" s="955">
        <f t="shared" si="44"/>
        <v>0</v>
      </c>
      <c r="CK18" s="954"/>
      <c r="CL18" s="964"/>
      <c r="CM18" s="965" t="s">
        <v>608</v>
      </c>
      <c r="CN18" s="966">
        <f t="shared" si="45"/>
        <v>0</v>
      </c>
      <c r="CO18" s="965" t="s">
        <v>609</v>
      </c>
      <c r="CP18" s="966">
        <f t="shared" si="46"/>
        <v>0</v>
      </c>
      <c r="CQ18" s="965" t="s">
        <v>610</v>
      </c>
      <c r="CR18" s="956">
        <f t="shared" si="47"/>
        <v>0</v>
      </c>
      <c r="CS18" s="964">
        <f t="shared" si="0"/>
        <v>0</v>
      </c>
      <c r="CT18" s="964"/>
      <c r="CU18" s="935"/>
      <c r="CV18" s="935"/>
      <c r="CW18" s="935"/>
      <c r="CX18" s="935"/>
      <c r="CY18" s="935"/>
      <c r="CZ18" s="935"/>
      <c r="DA18" s="935"/>
      <c r="DB18" s="935"/>
      <c r="DC18" s="935"/>
      <c r="DD18" s="935"/>
      <c r="DE18" s="935"/>
    </row>
    <row r="19" spans="1:109" s="3" customFormat="1" ht="24">
      <c r="A19" s="1">
        <v>7</v>
      </c>
      <c r="B19" s="80" t="s">
        <v>623</v>
      </c>
      <c r="E19" s="80">
        <v>2</v>
      </c>
      <c r="G19" s="80">
        <v>30</v>
      </c>
      <c r="H19" s="18"/>
      <c r="I19" s="83">
        <v>0.29166666666666669</v>
      </c>
      <c r="J19" s="35" t="str">
        <f t="shared" si="1"/>
        <v>às</v>
      </c>
      <c r="K19" s="83">
        <v>0.79166666666666663</v>
      </c>
      <c r="L19" s="85"/>
      <c r="M19" s="80">
        <f t="shared" si="48"/>
        <v>220</v>
      </c>
      <c r="N19" s="77"/>
      <c r="O19" s="593">
        <f t="shared" si="2"/>
        <v>220</v>
      </c>
      <c r="P19" s="77"/>
      <c r="Q19" s="88"/>
      <c r="R19" s="86">
        <f t="shared" si="3"/>
        <v>0</v>
      </c>
      <c r="S19" s="87"/>
      <c r="T19" s="38">
        <f t="shared" si="4"/>
        <v>0</v>
      </c>
      <c r="U19" s="969">
        <f t="shared" si="5"/>
        <v>0</v>
      </c>
      <c r="V19" s="38"/>
      <c r="W19" s="92"/>
      <c r="X19" s="93">
        <f t="shared" si="6"/>
        <v>0</v>
      </c>
      <c r="Y19" s="94"/>
      <c r="Z19" s="66"/>
      <c r="AA19" s="95"/>
      <c r="AC19" s="586">
        <f t="shared" si="7"/>
        <v>0</v>
      </c>
      <c r="AD19" s="37">
        <f t="shared" si="8"/>
        <v>0</v>
      </c>
      <c r="AE19" s="594"/>
      <c r="AF19" s="925"/>
      <c r="AG19" s="967">
        <f t="shared" si="9"/>
        <v>0</v>
      </c>
      <c r="AH19" s="968"/>
      <c r="AI19" s="969">
        <f t="shared" si="10"/>
        <v>0</v>
      </c>
      <c r="AJ19" s="595">
        <f t="shared" si="11"/>
        <v>0</v>
      </c>
      <c r="AK19" s="588">
        <f t="shared" si="12"/>
        <v>0</v>
      </c>
      <c r="AL19" s="595">
        <f t="shared" si="13"/>
        <v>0</v>
      </c>
      <c r="AM19" s="96"/>
      <c r="AN19" s="37"/>
      <c r="AO19" s="588">
        <f t="shared" si="14"/>
        <v>0</v>
      </c>
      <c r="AP19" s="37">
        <f t="shared" si="15"/>
        <v>0</v>
      </c>
      <c r="AQ19" s="883"/>
      <c r="AR19" s="37">
        <f t="shared" si="16"/>
        <v>0</v>
      </c>
      <c r="AS19" s="96">
        <f t="shared" si="49"/>
        <v>1</v>
      </c>
      <c r="AT19" s="35" t="str">
        <f t="shared" si="17"/>
        <v>x</v>
      </c>
      <c r="AU19" s="96">
        <f t="shared" si="50"/>
        <v>1</v>
      </c>
      <c r="AV19" s="37"/>
      <c r="AW19" s="588">
        <f t="shared" si="18"/>
        <v>0</v>
      </c>
      <c r="AX19" s="37">
        <f t="shared" si="19"/>
        <v>0</v>
      </c>
      <c r="AY19" s="588">
        <f>IF(PF!V13&gt;0,(CF19),0)</f>
        <v>0</v>
      </c>
      <c r="AZ19" s="37">
        <f t="shared" si="20"/>
        <v>0</v>
      </c>
      <c r="BA19" s="589">
        <f t="shared" si="21"/>
        <v>0</v>
      </c>
      <c r="BB19" s="37"/>
      <c r="BC19" s="587">
        <f t="shared" si="22"/>
        <v>0</v>
      </c>
      <c r="BD19" s="37">
        <f t="shared" si="23"/>
        <v>0</v>
      </c>
      <c r="BE19" s="979">
        <f t="shared" si="24"/>
        <v>0</v>
      </c>
      <c r="BF19" s="86">
        <f t="shared" si="25"/>
        <v>0</v>
      </c>
      <c r="BG19" s="953">
        <f>(BE19-BC19)*'E S'!$F$47</f>
        <v>0</v>
      </c>
      <c r="BH19" s="954"/>
      <c r="BI19" s="953">
        <f t="shared" si="26"/>
        <v>0</v>
      </c>
      <c r="BJ19" s="955"/>
      <c r="BK19" s="953">
        <f t="shared" si="27"/>
        <v>0</v>
      </c>
      <c r="BL19" s="955">
        <f t="shared" si="28"/>
        <v>0</v>
      </c>
      <c r="BM19" s="954"/>
      <c r="BN19" s="954"/>
      <c r="BO19" s="954"/>
      <c r="BP19" s="954">
        <v>1</v>
      </c>
      <c r="BQ19" s="956">
        <f t="shared" si="29"/>
        <v>0</v>
      </c>
      <c r="BR19" s="954">
        <v>2</v>
      </c>
      <c r="BS19" s="956">
        <f t="shared" si="30"/>
        <v>0</v>
      </c>
      <c r="BT19" s="954">
        <v>3</v>
      </c>
      <c r="BU19" s="956">
        <f t="shared" si="31"/>
        <v>0</v>
      </c>
      <c r="BV19" s="954">
        <v>4</v>
      </c>
      <c r="BW19" s="956">
        <f t="shared" si="32"/>
        <v>0</v>
      </c>
      <c r="BX19" s="954">
        <v>5</v>
      </c>
      <c r="BY19" s="956">
        <f t="shared" si="33"/>
        <v>0</v>
      </c>
      <c r="BZ19" s="954">
        <f t="shared" si="34"/>
        <v>15</v>
      </c>
      <c r="CA19" s="957">
        <f t="shared" si="35"/>
        <v>15</v>
      </c>
      <c r="CB19" s="957">
        <f t="shared" si="36"/>
        <v>15</v>
      </c>
      <c r="CC19" s="954">
        <f t="shared" si="37"/>
        <v>0</v>
      </c>
      <c r="CD19" s="958">
        <f t="shared" si="38"/>
        <v>0</v>
      </c>
      <c r="CE19" s="959">
        <f t="shared" si="39"/>
        <v>30</v>
      </c>
      <c r="CF19" s="960">
        <f t="shared" si="40"/>
        <v>0</v>
      </c>
      <c r="CG19" s="960">
        <f t="shared" si="41"/>
        <v>0</v>
      </c>
      <c r="CH19" s="960">
        <f t="shared" si="42"/>
        <v>0</v>
      </c>
      <c r="CI19" s="955">
        <f t="shared" si="43"/>
        <v>0</v>
      </c>
      <c r="CJ19" s="955">
        <f t="shared" si="44"/>
        <v>0</v>
      </c>
      <c r="CK19" s="954"/>
      <c r="CL19" s="964"/>
      <c r="CM19" s="965" t="s">
        <v>608</v>
      </c>
      <c r="CN19" s="966">
        <f t="shared" si="45"/>
        <v>0</v>
      </c>
      <c r="CO19" s="965" t="s">
        <v>609</v>
      </c>
      <c r="CP19" s="966">
        <f t="shared" si="46"/>
        <v>0</v>
      </c>
      <c r="CQ19" s="965" t="s">
        <v>610</v>
      </c>
      <c r="CR19" s="956">
        <f t="shared" si="47"/>
        <v>0</v>
      </c>
      <c r="CS19" s="964">
        <f t="shared" si="0"/>
        <v>0</v>
      </c>
      <c r="CT19" s="964"/>
      <c r="CU19" s="935"/>
      <c r="CV19" s="935"/>
      <c r="CW19" s="935"/>
      <c r="CX19" s="935"/>
      <c r="CY19" s="935"/>
      <c r="CZ19" s="935"/>
      <c r="DA19" s="935"/>
      <c r="DB19" s="935"/>
      <c r="DC19" s="935"/>
      <c r="DD19" s="935"/>
      <c r="DE19" s="935"/>
    </row>
    <row r="20" spans="1:109" s="3" customFormat="1" ht="24">
      <c r="A20" s="1">
        <v>8</v>
      </c>
      <c r="B20" s="80" t="s">
        <v>624</v>
      </c>
      <c r="E20" s="80">
        <v>2</v>
      </c>
      <c r="G20" s="80">
        <v>30</v>
      </c>
      <c r="I20" s="83">
        <v>0.79166666666666663</v>
      </c>
      <c r="J20" s="35" t="str">
        <f t="shared" si="1"/>
        <v>às</v>
      </c>
      <c r="K20" s="83">
        <v>0.29166666666666669</v>
      </c>
      <c r="L20" s="85"/>
      <c r="M20" s="80">
        <f t="shared" si="48"/>
        <v>220</v>
      </c>
      <c r="N20" s="66"/>
      <c r="O20" s="593">
        <f t="shared" si="2"/>
        <v>220</v>
      </c>
      <c r="P20" s="66"/>
      <c r="Q20" s="80">
        <v>7</v>
      </c>
      <c r="R20" s="86">
        <f t="shared" si="3"/>
        <v>0</v>
      </c>
      <c r="S20" s="87"/>
      <c r="T20" s="38">
        <f t="shared" si="4"/>
        <v>0</v>
      </c>
      <c r="U20" s="969">
        <f t="shared" si="5"/>
        <v>0</v>
      </c>
      <c r="V20" s="38"/>
      <c r="W20" s="92"/>
      <c r="X20" s="93">
        <f t="shared" si="6"/>
        <v>0</v>
      </c>
      <c r="Y20" s="94"/>
      <c r="Z20" s="66"/>
      <c r="AA20" s="95"/>
      <c r="AC20" s="586">
        <f t="shared" si="7"/>
        <v>0</v>
      </c>
      <c r="AD20" s="37">
        <f t="shared" si="8"/>
        <v>0</v>
      </c>
      <c r="AE20" s="594"/>
      <c r="AF20" s="925"/>
      <c r="AG20" s="967">
        <f t="shared" si="9"/>
        <v>246.44277000000002</v>
      </c>
      <c r="AH20" s="968"/>
      <c r="AI20" s="969">
        <f t="shared" si="10"/>
        <v>0</v>
      </c>
      <c r="AJ20" s="595">
        <f t="shared" si="11"/>
        <v>0</v>
      </c>
      <c r="AK20" s="588">
        <f t="shared" si="12"/>
        <v>0</v>
      </c>
      <c r="AL20" s="595">
        <f t="shared" si="13"/>
        <v>0</v>
      </c>
      <c r="AM20" s="96"/>
      <c r="AN20" s="37"/>
      <c r="AO20" s="588">
        <f t="shared" si="14"/>
        <v>0</v>
      </c>
      <c r="AP20" s="37">
        <f t="shared" si="15"/>
        <v>0</v>
      </c>
      <c r="AQ20" s="883"/>
      <c r="AR20" s="37">
        <f t="shared" si="16"/>
        <v>0</v>
      </c>
      <c r="AS20" s="96">
        <f t="shared" si="49"/>
        <v>1</v>
      </c>
      <c r="AT20" s="35" t="str">
        <f t="shared" si="17"/>
        <v>x</v>
      </c>
      <c r="AU20" s="96">
        <f t="shared" si="50"/>
        <v>1</v>
      </c>
      <c r="AV20" s="37"/>
      <c r="AW20" s="588">
        <f t="shared" si="18"/>
        <v>0</v>
      </c>
      <c r="AX20" s="37">
        <f t="shared" si="19"/>
        <v>0</v>
      </c>
      <c r="AY20" s="588">
        <f>IF(PF!V14&gt;0,(CF20),0)</f>
        <v>0</v>
      </c>
      <c r="AZ20" s="37">
        <f t="shared" si="20"/>
        <v>0</v>
      </c>
      <c r="BA20" s="589">
        <f t="shared" si="21"/>
        <v>0</v>
      </c>
      <c r="BB20" s="37"/>
      <c r="BC20" s="587">
        <f t="shared" si="22"/>
        <v>0</v>
      </c>
      <c r="BD20" s="37">
        <f t="shared" si="23"/>
        <v>0</v>
      </c>
      <c r="BE20" s="979">
        <f t="shared" si="24"/>
        <v>0</v>
      </c>
      <c r="BF20" s="86">
        <f t="shared" si="25"/>
        <v>0</v>
      </c>
      <c r="BG20" s="953">
        <f>(BE20-BC20)*'E S'!$F$47</f>
        <v>0</v>
      </c>
      <c r="BH20" s="954"/>
      <c r="BI20" s="953">
        <f t="shared" si="26"/>
        <v>0</v>
      </c>
      <c r="BJ20" s="955"/>
      <c r="BK20" s="953">
        <f t="shared" si="27"/>
        <v>0</v>
      </c>
      <c r="BL20" s="955">
        <f t="shared" si="28"/>
        <v>0</v>
      </c>
      <c r="BM20" s="954"/>
      <c r="BN20" s="954"/>
      <c r="BO20" s="954"/>
      <c r="BP20" s="954">
        <v>1</v>
      </c>
      <c r="BQ20" s="956">
        <f t="shared" si="29"/>
        <v>0</v>
      </c>
      <c r="BR20" s="954">
        <v>2</v>
      </c>
      <c r="BS20" s="956">
        <f t="shared" si="30"/>
        <v>0</v>
      </c>
      <c r="BT20" s="954">
        <v>3</v>
      </c>
      <c r="BU20" s="956">
        <f t="shared" si="31"/>
        <v>0</v>
      </c>
      <c r="BV20" s="954">
        <v>4</v>
      </c>
      <c r="BW20" s="956">
        <f t="shared" si="32"/>
        <v>0</v>
      </c>
      <c r="BX20" s="954">
        <v>5</v>
      </c>
      <c r="BY20" s="956">
        <f t="shared" si="33"/>
        <v>0</v>
      </c>
      <c r="BZ20" s="954">
        <f t="shared" si="34"/>
        <v>15</v>
      </c>
      <c r="CA20" s="957">
        <f t="shared" si="35"/>
        <v>15</v>
      </c>
      <c r="CB20" s="957">
        <f t="shared" si="36"/>
        <v>15</v>
      </c>
      <c r="CC20" s="954">
        <f t="shared" si="37"/>
        <v>0</v>
      </c>
      <c r="CD20" s="958">
        <f t="shared" si="38"/>
        <v>0</v>
      </c>
      <c r="CE20" s="959">
        <f t="shared" si="39"/>
        <v>30</v>
      </c>
      <c r="CF20" s="960">
        <f t="shared" si="40"/>
        <v>0</v>
      </c>
      <c r="CG20" s="960">
        <f t="shared" si="41"/>
        <v>0</v>
      </c>
      <c r="CH20" s="960">
        <f t="shared" si="42"/>
        <v>0</v>
      </c>
      <c r="CI20" s="955">
        <f t="shared" si="43"/>
        <v>0</v>
      </c>
      <c r="CJ20" s="955">
        <f t="shared" si="44"/>
        <v>0</v>
      </c>
      <c r="CK20" s="954"/>
      <c r="CL20" s="964"/>
      <c r="CM20" s="965" t="s">
        <v>608</v>
      </c>
      <c r="CN20" s="966">
        <f t="shared" si="45"/>
        <v>0</v>
      </c>
      <c r="CO20" s="965" t="s">
        <v>609</v>
      </c>
      <c r="CP20" s="966">
        <f t="shared" si="46"/>
        <v>0</v>
      </c>
      <c r="CQ20" s="965" t="s">
        <v>610</v>
      </c>
      <c r="CR20" s="956">
        <f t="shared" si="47"/>
        <v>0</v>
      </c>
      <c r="CS20" s="964">
        <f t="shared" si="0"/>
        <v>0</v>
      </c>
      <c r="CT20" s="964"/>
      <c r="CU20" s="935"/>
      <c r="CV20" s="935"/>
      <c r="CW20" s="935"/>
      <c r="CX20" s="935"/>
      <c r="CY20" s="935"/>
      <c r="CZ20" s="935"/>
      <c r="DA20" s="935"/>
      <c r="DB20" s="935"/>
      <c r="DC20" s="935"/>
      <c r="DD20" s="935"/>
      <c r="DE20" s="935"/>
    </row>
    <row r="21" spans="1:109" s="3" customFormat="1" ht="24">
      <c r="A21" s="1">
        <v>9</v>
      </c>
      <c r="B21" s="80" t="s">
        <v>625</v>
      </c>
      <c r="E21" s="80">
        <v>1</v>
      </c>
      <c r="G21" s="80">
        <v>30</v>
      </c>
      <c r="I21" s="83">
        <v>0.29166666666666669</v>
      </c>
      <c r="J21" s="35" t="str">
        <f t="shared" si="1"/>
        <v>às</v>
      </c>
      <c r="K21" s="83">
        <v>0.79166666666666663</v>
      </c>
      <c r="L21" s="85"/>
      <c r="M21" s="80">
        <f t="shared" si="48"/>
        <v>220</v>
      </c>
      <c r="N21" s="66"/>
      <c r="O21" s="593">
        <f t="shared" si="2"/>
        <v>220</v>
      </c>
      <c r="P21" s="66"/>
      <c r="Q21" s="80"/>
      <c r="R21" s="86">
        <f t="shared" si="3"/>
        <v>0</v>
      </c>
      <c r="S21" s="87"/>
      <c r="T21" s="38">
        <f t="shared" si="4"/>
        <v>0</v>
      </c>
      <c r="U21" s="969">
        <f t="shared" si="5"/>
        <v>0</v>
      </c>
      <c r="V21" s="38"/>
      <c r="W21" s="92"/>
      <c r="X21" s="93">
        <f t="shared" si="6"/>
        <v>0</v>
      </c>
      <c r="Y21" s="94"/>
      <c r="Z21" s="66"/>
      <c r="AA21" s="95"/>
      <c r="AC21" s="586">
        <f t="shared" si="7"/>
        <v>0</v>
      </c>
      <c r="AD21" s="37">
        <f t="shared" si="8"/>
        <v>0</v>
      </c>
      <c r="AE21" s="594"/>
      <c r="AF21" s="925"/>
      <c r="AG21" s="967">
        <f t="shared" si="9"/>
        <v>0</v>
      </c>
      <c r="AH21" s="968"/>
      <c r="AI21" s="969">
        <f t="shared" si="10"/>
        <v>0</v>
      </c>
      <c r="AJ21" s="595">
        <f t="shared" si="11"/>
        <v>0</v>
      </c>
      <c r="AK21" s="588">
        <f t="shared" si="12"/>
        <v>0</v>
      </c>
      <c r="AL21" s="595">
        <f t="shared" si="13"/>
        <v>0</v>
      </c>
      <c r="AM21" s="96"/>
      <c r="AN21" s="37"/>
      <c r="AO21" s="588">
        <f t="shared" si="14"/>
        <v>0</v>
      </c>
      <c r="AP21" s="37">
        <f t="shared" si="15"/>
        <v>0</v>
      </c>
      <c r="AQ21" s="883"/>
      <c r="AR21" s="37">
        <f t="shared" si="16"/>
        <v>0</v>
      </c>
      <c r="AS21" s="96">
        <f t="shared" si="49"/>
        <v>1</v>
      </c>
      <c r="AT21" s="35" t="str">
        <f t="shared" si="17"/>
        <v>x</v>
      </c>
      <c r="AU21" s="96">
        <f t="shared" si="50"/>
        <v>1</v>
      </c>
      <c r="AV21" s="37"/>
      <c r="AW21" s="588">
        <f t="shared" si="18"/>
        <v>0</v>
      </c>
      <c r="AX21" s="37">
        <f t="shared" si="19"/>
        <v>0</v>
      </c>
      <c r="AY21" s="588">
        <f>IF(PF!V15&gt;0,(CF21),0)</f>
        <v>0</v>
      </c>
      <c r="AZ21" s="37">
        <f t="shared" si="20"/>
        <v>0</v>
      </c>
      <c r="BA21" s="589">
        <f t="shared" si="21"/>
        <v>0</v>
      </c>
      <c r="BB21" s="37"/>
      <c r="BC21" s="587">
        <f t="shared" si="22"/>
        <v>0</v>
      </c>
      <c r="BD21" s="37">
        <f t="shared" si="23"/>
        <v>0</v>
      </c>
      <c r="BE21" s="979">
        <f t="shared" si="24"/>
        <v>0</v>
      </c>
      <c r="BF21" s="86">
        <f t="shared" si="25"/>
        <v>0</v>
      </c>
      <c r="BG21" s="953">
        <f>(BE21-BC21)*'E S'!$F$47</f>
        <v>0</v>
      </c>
      <c r="BH21" s="954"/>
      <c r="BI21" s="953">
        <f t="shared" si="26"/>
        <v>0</v>
      </c>
      <c r="BJ21" s="955"/>
      <c r="BK21" s="953">
        <f t="shared" si="27"/>
        <v>0</v>
      </c>
      <c r="BL21" s="955">
        <f t="shared" si="28"/>
        <v>0</v>
      </c>
      <c r="BM21" s="954"/>
      <c r="BN21" s="954"/>
      <c r="BO21" s="954"/>
      <c r="BP21" s="954">
        <v>1</v>
      </c>
      <c r="BQ21" s="956">
        <f t="shared" si="29"/>
        <v>0</v>
      </c>
      <c r="BR21" s="954">
        <v>2</v>
      </c>
      <c r="BS21" s="956">
        <f t="shared" si="30"/>
        <v>0</v>
      </c>
      <c r="BT21" s="954">
        <v>3</v>
      </c>
      <c r="BU21" s="956">
        <f t="shared" si="31"/>
        <v>0</v>
      </c>
      <c r="BV21" s="954">
        <v>4</v>
      </c>
      <c r="BW21" s="956">
        <f t="shared" si="32"/>
        <v>0</v>
      </c>
      <c r="BX21" s="954">
        <v>5</v>
      </c>
      <c r="BY21" s="956">
        <f t="shared" si="33"/>
        <v>0</v>
      </c>
      <c r="BZ21" s="954">
        <f t="shared" si="34"/>
        <v>15</v>
      </c>
      <c r="CA21" s="957">
        <f t="shared" si="35"/>
        <v>15</v>
      </c>
      <c r="CB21" s="957">
        <f t="shared" si="36"/>
        <v>15</v>
      </c>
      <c r="CC21" s="954">
        <f t="shared" si="37"/>
        <v>0</v>
      </c>
      <c r="CD21" s="958">
        <f t="shared" si="38"/>
        <v>0</v>
      </c>
      <c r="CE21" s="959">
        <f t="shared" si="39"/>
        <v>30</v>
      </c>
      <c r="CF21" s="960">
        <f t="shared" si="40"/>
        <v>0</v>
      </c>
      <c r="CG21" s="960">
        <f t="shared" si="41"/>
        <v>0</v>
      </c>
      <c r="CH21" s="960">
        <f t="shared" si="42"/>
        <v>0</v>
      </c>
      <c r="CI21" s="955">
        <f t="shared" si="43"/>
        <v>0</v>
      </c>
      <c r="CJ21" s="955">
        <f t="shared" si="44"/>
        <v>0</v>
      </c>
      <c r="CK21" s="954"/>
      <c r="CL21" s="964"/>
      <c r="CM21" s="965" t="s">
        <v>608</v>
      </c>
      <c r="CN21" s="966">
        <f t="shared" si="45"/>
        <v>0</v>
      </c>
      <c r="CO21" s="965" t="s">
        <v>609</v>
      </c>
      <c r="CP21" s="966">
        <f t="shared" si="46"/>
        <v>0</v>
      </c>
      <c r="CQ21" s="965" t="s">
        <v>610</v>
      </c>
      <c r="CR21" s="956">
        <f t="shared" si="47"/>
        <v>0</v>
      </c>
      <c r="CS21" s="964">
        <f t="shared" si="0"/>
        <v>0</v>
      </c>
      <c r="CT21" s="964"/>
      <c r="CU21" s="935"/>
      <c r="CV21" s="935"/>
      <c r="CW21" s="935"/>
      <c r="CX21" s="935"/>
      <c r="CY21" s="935"/>
      <c r="CZ21" s="935"/>
      <c r="DA21" s="935"/>
      <c r="DB21" s="935"/>
      <c r="DC21" s="935"/>
      <c r="DD21" s="935"/>
      <c r="DE21" s="935"/>
    </row>
    <row r="22" spans="1:109" s="3" customFormat="1" ht="24">
      <c r="A22" s="1">
        <v>10</v>
      </c>
      <c r="B22" s="80" t="s">
        <v>626</v>
      </c>
      <c r="E22" s="80">
        <v>1</v>
      </c>
      <c r="G22" s="80">
        <v>30</v>
      </c>
      <c r="I22" s="83">
        <v>0.79166666666666663</v>
      </c>
      <c r="J22" s="35" t="str">
        <f t="shared" si="1"/>
        <v>às</v>
      </c>
      <c r="K22" s="83">
        <v>0.29166666666666669</v>
      </c>
      <c r="L22" s="85"/>
      <c r="M22" s="80">
        <f t="shared" si="48"/>
        <v>220</v>
      </c>
      <c r="N22" s="66"/>
      <c r="O22" s="593">
        <f t="shared" si="2"/>
        <v>220</v>
      </c>
      <c r="P22" s="66"/>
      <c r="Q22" s="80">
        <v>7</v>
      </c>
      <c r="R22" s="86">
        <f t="shared" si="3"/>
        <v>0</v>
      </c>
      <c r="S22" s="87"/>
      <c r="T22" s="38">
        <f t="shared" si="4"/>
        <v>0</v>
      </c>
      <c r="U22" s="969">
        <f t="shared" si="5"/>
        <v>0</v>
      </c>
      <c r="V22" s="38"/>
      <c r="W22" s="92"/>
      <c r="X22" s="93">
        <f t="shared" si="6"/>
        <v>0</v>
      </c>
      <c r="Y22" s="94"/>
      <c r="Z22" s="66"/>
      <c r="AA22" s="95"/>
      <c r="AC22" s="586">
        <f t="shared" si="7"/>
        <v>0</v>
      </c>
      <c r="AD22" s="37">
        <f t="shared" si="8"/>
        <v>0</v>
      </c>
      <c r="AE22" s="594"/>
      <c r="AF22" s="925"/>
      <c r="AG22" s="967">
        <f t="shared" si="9"/>
        <v>246.44277000000002</v>
      </c>
      <c r="AH22" s="968"/>
      <c r="AI22" s="969">
        <f t="shared" si="10"/>
        <v>0</v>
      </c>
      <c r="AJ22" s="595">
        <f t="shared" si="11"/>
        <v>0</v>
      </c>
      <c r="AK22" s="588">
        <f t="shared" si="12"/>
        <v>0</v>
      </c>
      <c r="AL22" s="595">
        <f t="shared" si="13"/>
        <v>0</v>
      </c>
      <c r="AM22" s="96"/>
      <c r="AN22" s="37"/>
      <c r="AO22" s="588">
        <f t="shared" si="14"/>
        <v>0</v>
      </c>
      <c r="AP22" s="37">
        <f t="shared" si="15"/>
        <v>0</v>
      </c>
      <c r="AQ22" s="883"/>
      <c r="AR22" s="37">
        <f t="shared" si="16"/>
        <v>0</v>
      </c>
      <c r="AS22" s="96">
        <f t="shared" si="49"/>
        <v>1</v>
      </c>
      <c r="AT22" s="35" t="str">
        <f t="shared" si="17"/>
        <v>x</v>
      </c>
      <c r="AU22" s="96">
        <f t="shared" si="50"/>
        <v>1</v>
      </c>
      <c r="AV22" s="37"/>
      <c r="AW22" s="588">
        <f t="shared" si="18"/>
        <v>0</v>
      </c>
      <c r="AX22" s="37">
        <f t="shared" si="19"/>
        <v>0</v>
      </c>
      <c r="AY22" s="588">
        <f>IF(PF!V16&gt;0,(CF22),0)</f>
        <v>0</v>
      </c>
      <c r="AZ22" s="37">
        <f t="shared" si="20"/>
        <v>0</v>
      </c>
      <c r="BA22" s="589">
        <f t="shared" si="21"/>
        <v>0</v>
      </c>
      <c r="BB22" s="37"/>
      <c r="BC22" s="587">
        <f t="shared" si="22"/>
        <v>0</v>
      </c>
      <c r="BD22" s="37">
        <f t="shared" si="23"/>
        <v>0</v>
      </c>
      <c r="BE22" s="979">
        <f t="shared" si="24"/>
        <v>0</v>
      </c>
      <c r="BF22" s="86">
        <f t="shared" si="25"/>
        <v>0</v>
      </c>
      <c r="BG22" s="953">
        <f>(BE22-BC22)*'E S'!$F$47</f>
        <v>0</v>
      </c>
      <c r="BH22" s="954"/>
      <c r="BI22" s="953">
        <f t="shared" si="26"/>
        <v>0</v>
      </c>
      <c r="BJ22" s="955"/>
      <c r="BK22" s="953">
        <f t="shared" si="27"/>
        <v>0</v>
      </c>
      <c r="BL22" s="955">
        <f t="shared" si="28"/>
        <v>0</v>
      </c>
      <c r="BM22" s="954"/>
      <c r="BN22" s="954"/>
      <c r="BO22" s="954"/>
      <c r="BP22" s="954">
        <v>1</v>
      </c>
      <c r="BQ22" s="956">
        <f t="shared" si="29"/>
        <v>0</v>
      </c>
      <c r="BR22" s="954">
        <v>2</v>
      </c>
      <c r="BS22" s="956">
        <f t="shared" si="30"/>
        <v>0</v>
      </c>
      <c r="BT22" s="954">
        <v>3</v>
      </c>
      <c r="BU22" s="956">
        <f t="shared" si="31"/>
        <v>0</v>
      </c>
      <c r="BV22" s="954">
        <v>4</v>
      </c>
      <c r="BW22" s="956">
        <f t="shared" si="32"/>
        <v>0</v>
      </c>
      <c r="BX22" s="954">
        <v>5</v>
      </c>
      <c r="BY22" s="956">
        <f t="shared" si="33"/>
        <v>0</v>
      </c>
      <c r="BZ22" s="954">
        <f t="shared" si="34"/>
        <v>15</v>
      </c>
      <c r="CA22" s="957">
        <f t="shared" si="35"/>
        <v>15</v>
      </c>
      <c r="CB22" s="957">
        <f t="shared" si="36"/>
        <v>15</v>
      </c>
      <c r="CC22" s="954">
        <f t="shared" si="37"/>
        <v>0</v>
      </c>
      <c r="CD22" s="958">
        <f t="shared" si="38"/>
        <v>0</v>
      </c>
      <c r="CE22" s="959">
        <f t="shared" si="39"/>
        <v>30</v>
      </c>
      <c r="CF22" s="960">
        <f t="shared" si="40"/>
        <v>0</v>
      </c>
      <c r="CG22" s="960">
        <f t="shared" si="41"/>
        <v>0</v>
      </c>
      <c r="CH22" s="960">
        <f t="shared" si="42"/>
        <v>0</v>
      </c>
      <c r="CI22" s="955">
        <f t="shared" si="43"/>
        <v>0</v>
      </c>
      <c r="CJ22" s="955">
        <f t="shared" si="44"/>
        <v>0</v>
      </c>
      <c r="CK22" s="954"/>
      <c r="CL22" s="964"/>
      <c r="CM22" s="965" t="s">
        <v>608</v>
      </c>
      <c r="CN22" s="966">
        <f t="shared" si="45"/>
        <v>0</v>
      </c>
      <c r="CO22" s="965" t="s">
        <v>609</v>
      </c>
      <c r="CP22" s="966">
        <f t="shared" si="46"/>
        <v>0</v>
      </c>
      <c r="CQ22" s="965" t="s">
        <v>610</v>
      </c>
      <c r="CR22" s="956">
        <f t="shared" si="47"/>
        <v>0</v>
      </c>
      <c r="CS22" s="964">
        <f t="shared" si="0"/>
        <v>0</v>
      </c>
      <c r="CT22" s="964"/>
      <c r="CU22" s="935"/>
      <c r="CV22" s="935"/>
      <c r="CW22" s="935"/>
      <c r="CX22" s="935"/>
      <c r="CY22" s="935"/>
      <c r="CZ22" s="935"/>
      <c r="DA22" s="935"/>
      <c r="DB22" s="935"/>
      <c r="DC22" s="935"/>
      <c r="DD22" s="935"/>
      <c r="DE22" s="935"/>
    </row>
    <row r="23" spans="1:109" s="3" customFormat="1" ht="24">
      <c r="A23" s="1">
        <v>11</v>
      </c>
      <c r="B23" s="80" t="s">
        <v>627</v>
      </c>
      <c r="E23" s="80">
        <v>1</v>
      </c>
      <c r="G23" s="80">
        <v>30</v>
      </c>
      <c r="I23" s="83">
        <v>0.29166666666666669</v>
      </c>
      <c r="J23" s="35" t="str">
        <f t="shared" si="1"/>
        <v>às</v>
      </c>
      <c r="K23" s="83">
        <v>0.79166666666666663</v>
      </c>
      <c r="L23" s="85"/>
      <c r="M23" s="80">
        <f t="shared" si="48"/>
        <v>220</v>
      </c>
      <c r="N23" s="66"/>
      <c r="O23" s="593">
        <f t="shared" si="2"/>
        <v>220</v>
      </c>
      <c r="P23" s="66"/>
      <c r="Q23" s="80"/>
      <c r="R23" s="86">
        <f t="shared" si="3"/>
        <v>0</v>
      </c>
      <c r="S23" s="87"/>
      <c r="T23" s="38">
        <f t="shared" si="4"/>
        <v>0</v>
      </c>
      <c r="U23" s="969">
        <f t="shared" si="5"/>
        <v>0</v>
      </c>
      <c r="V23" s="38"/>
      <c r="W23" s="92"/>
      <c r="X23" s="93">
        <f t="shared" si="6"/>
        <v>0</v>
      </c>
      <c r="Y23" s="94"/>
      <c r="Z23" s="66"/>
      <c r="AA23" s="95"/>
      <c r="AC23" s="586">
        <f t="shared" si="7"/>
        <v>0</v>
      </c>
      <c r="AD23" s="37">
        <f t="shared" si="8"/>
        <v>0</v>
      </c>
      <c r="AE23" s="594"/>
      <c r="AF23" s="925"/>
      <c r="AG23" s="967">
        <f t="shared" si="9"/>
        <v>0</v>
      </c>
      <c r="AH23" s="968"/>
      <c r="AI23" s="969">
        <f t="shared" si="10"/>
        <v>0</v>
      </c>
      <c r="AJ23" s="595">
        <f t="shared" si="11"/>
        <v>0</v>
      </c>
      <c r="AK23" s="588">
        <f t="shared" si="12"/>
        <v>0</v>
      </c>
      <c r="AL23" s="595">
        <f t="shared" si="13"/>
        <v>0</v>
      </c>
      <c r="AM23" s="96"/>
      <c r="AN23" s="37"/>
      <c r="AO23" s="588">
        <f t="shared" si="14"/>
        <v>0</v>
      </c>
      <c r="AP23" s="37">
        <f t="shared" si="15"/>
        <v>0</v>
      </c>
      <c r="AQ23" s="883"/>
      <c r="AR23" s="37">
        <f t="shared" si="16"/>
        <v>0</v>
      </c>
      <c r="AS23" s="96">
        <f t="shared" si="49"/>
        <v>1</v>
      </c>
      <c r="AT23" s="35" t="str">
        <f t="shared" si="17"/>
        <v>x</v>
      </c>
      <c r="AU23" s="96">
        <f t="shared" si="50"/>
        <v>1</v>
      </c>
      <c r="AV23" s="37"/>
      <c r="AW23" s="588">
        <f t="shared" si="18"/>
        <v>0</v>
      </c>
      <c r="AX23" s="37">
        <f t="shared" si="19"/>
        <v>0</v>
      </c>
      <c r="AY23" s="588">
        <f>IF(PF!V17&gt;0,(CF23),0)</f>
        <v>0</v>
      </c>
      <c r="AZ23" s="37">
        <f t="shared" si="20"/>
        <v>0</v>
      </c>
      <c r="BA23" s="589">
        <f t="shared" si="21"/>
        <v>0</v>
      </c>
      <c r="BB23" s="37"/>
      <c r="BC23" s="587">
        <f t="shared" si="22"/>
        <v>0</v>
      </c>
      <c r="BD23" s="37">
        <f t="shared" si="23"/>
        <v>0</v>
      </c>
      <c r="BE23" s="979">
        <f t="shared" si="24"/>
        <v>0</v>
      </c>
      <c r="BF23" s="86">
        <f t="shared" si="25"/>
        <v>0</v>
      </c>
      <c r="BG23" s="953">
        <f>(BE23-BC23)*'E S'!$F$47</f>
        <v>0</v>
      </c>
      <c r="BH23" s="954"/>
      <c r="BI23" s="953">
        <f t="shared" si="26"/>
        <v>0</v>
      </c>
      <c r="BJ23" s="955"/>
      <c r="BK23" s="953">
        <f t="shared" si="27"/>
        <v>0</v>
      </c>
      <c r="BL23" s="955">
        <f t="shared" si="28"/>
        <v>0</v>
      </c>
      <c r="BM23" s="954"/>
      <c r="BN23" s="954"/>
      <c r="BO23" s="954"/>
      <c r="BP23" s="954">
        <v>1</v>
      </c>
      <c r="BQ23" s="956">
        <f t="shared" si="29"/>
        <v>0</v>
      </c>
      <c r="BR23" s="954">
        <v>2</v>
      </c>
      <c r="BS23" s="956">
        <f t="shared" si="30"/>
        <v>0</v>
      </c>
      <c r="BT23" s="954">
        <v>3</v>
      </c>
      <c r="BU23" s="956">
        <f t="shared" si="31"/>
        <v>0</v>
      </c>
      <c r="BV23" s="954">
        <v>4</v>
      </c>
      <c r="BW23" s="956">
        <f t="shared" si="32"/>
        <v>0</v>
      </c>
      <c r="BX23" s="954">
        <v>5</v>
      </c>
      <c r="BY23" s="956">
        <f t="shared" si="33"/>
        <v>0</v>
      </c>
      <c r="BZ23" s="954">
        <f t="shared" si="34"/>
        <v>15</v>
      </c>
      <c r="CA23" s="957">
        <f t="shared" si="35"/>
        <v>15</v>
      </c>
      <c r="CB23" s="957">
        <f t="shared" si="36"/>
        <v>15</v>
      </c>
      <c r="CC23" s="954">
        <f t="shared" si="37"/>
        <v>0</v>
      </c>
      <c r="CD23" s="958">
        <f t="shared" si="38"/>
        <v>0</v>
      </c>
      <c r="CE23" s="959">
        <f t="shared" si="39"/>
        <v>30</v>
      </c>
      <c r="CF23" s="960">
        <f t="shared" si="40"/>
        <v>0</v>
      </c>
      <c r="CG23" s="960">
        <f t="shared" si="41"/>
        <v>0</v>
      </c>
      <c r="CH23" s="960">
        <f t="shared" si="42"/>
        <v>0</v>
      </c>
      <c r="CI23" s="955">
        <f t="shared" si="43"/>
        <v>0</v>
      </c>
      <c r="CJ23" s="955">
        <f t="shared" si="44"/>
        <v>0</v>
      </c>
      <c r="CK23" s="954"/>
      <c r="CL23" s="964"/>
      <c r="CM23" s="965" t="s">
        <v>608</v>
      </c>
      <c r="CN23" s="966">
        <f t="shared" si="45"/>
        <v>0</v>
      </c>
      <c r="CO23" s="965" t="s">
        <v>609</v>
      </c>
      <c r="CP23" s="966">
        <f t="shared" si="46"/>
        <v>0</v>
      </c>
      <c r="CQ23" s="965" t="s">
        <v>610</v>
      </c>
      <c r="CR23" s="956">
        <f t="shared" si="47"/>
        <v>0</v>
      </c>
      <c r="CS23" s="964">
        <f t="shared" si="0"/>
        <v>0</v>
      </c>
      <c r="CT23" s="964"/>
      <c r="CU23" s="935"/>
      <c r="CV23" s="935"/>
      <c r="CW23" s="935"/>
      <c r="CX23" s="935"/>
      <c r="CY23" s="935"/>
      <c r="CZ23" s="935"/>
      <c r="DA23" s="935"/>
      <c r="DB23" s="935"/>
      <c r="DC23" s="935"/>
      <c r="DD23" s="935"/>
      <c r="DE23" s="935"/>
    </row>
    <row r="24" spans="1:109" s="3" customFormat="1" ht="24">
      <c r="A24" s="1">
        <v>12</v>
      </c>
      <c r="B24" s="80" t="s">
        <v>628</v>
      </c>
      <c r="E24" s="80">
        <v>1</v>
      </c>
      <c r="G24" s="80">
        <v>30</v>
      </c>
      <c r="I24" s="83">
        <v>0.79166666666666663</v>
      </c>
      <c r="J24" s="35" t="str">
        <f t="shared" si="1"/>
        <v>às</v>
      </c>
      <c r="K24" s="83">
        <v>0.29166666666666669</v>
      </c>
      <c r="L24" s="85"/>
      <c r="M24" s="80">
        <f t="shared" si="48"/>
        <v>220</v>
      </c>
      <c r="N24" s="66"/>
      <c r="O24" s="593">
        <f t="shared" si="2"/>
        <v>220</v>
      </c>
      <c r="P24" s="66"/>
      <c r="Q24" s="80">
        <v>7</v>
      </c>
      <c r="R24" s="86">
        <f t="shared" si="3"/>
        <v>0</v>
      </c>
      <c r="S24" s="87"/>
      <c r="T24" s="38">
        <f t="shared" si="4"/>
        <v>0</v>
      </c>
      <c r="U24" s="969">
        <f t="shared" si="5"/>
        <v>0</v>
      </c>
      <c r="V24" s="38"/>
      <c r="W24" s="92"/>
      <c r="X24" s="93">
        <f t="shared" si="6"/>
        <v>0</v>
      </c>
      <c r="Y24" s="94"/>
      <c r="Z24" s="66"/>
      <c r="AA24" s="95"/>
      <c r="AC24" s="586">
        <f t="shared" si="7"/>
        <v>0</v>
      </c>
      <c r="AD24" s="37">
        <f t="shared" si="8"/>
        <v>0</v>
      </c>
      <c r="AE24" s="594"/>
      <c r="AF24" s="925"/>
      <c r="AG24" s="967">
        <f t="shared" si="9"/>
        <v>246.44277000000002</v>
      </c>
      <c r="AH24" s="968"/>
      <c r="AI24" s="969">
        <f t="shared" si="10"/>
        <v>0</v>
      </c>
      <c r="AJ24" s="595">
        <f t="shared" si="11"/>
        <v>0</v>
      </c>
      <c r="AK24" s="588">
        <f t="shared" si="12"/>
        <v>0</v>
      </c>
      <c r="AL24" s="595">
        <f t="shared" si="13"/>
        <v>0</v>
      </c>
      <c r="AM24" s="96"/>
      <c r="AN24" s="37"/>
      <c r="AO24" s="588">
        <f t="shared" si="14"/>
        <v>0</v>
      </c>
      <c r="AP24" s="37">
        <f t="shared" si="15"/>
        <v>0</v>
      </c>
      <c r="AQ24" s="883"/>
      <c r="AR24" s="37">
        <f t="shared" si="16"/>
        <v>0</v>
      </c>
      <c r="AS24" s="96">
        <f t="shared" si="49"/>
        <v>1</v>
      </c>
      <c r="AT24" s="35" t="str">
        <f t="shared" si="17"/>
        <v>x</v>
      </c>
      <c r="AU24" s="96">
        <f t="shared" si="50"/>
        <v>1</v>
      </c>
      <c r="AV24" s="37"/>
      <c r="AW24" s="588">
        <f t="shared" si="18"/>
        <v>0</v>
      </c>
      <c r="AX24" s="37">
        <f t="shared" si="19"/>
        <v>0</v>
      </c>
      <c r="AY24" s="588">
        <f>IF(PF!V18&gt;0,(CF24),0)</f>
        <v>0</v>
      </c>
      <c r="AZ24" s="37">
        <f t="shared" si="20"/>
        <v>0</v>
      </c>
      <c r="BA24" s="589">
        <f t="shared" si="21"/>
        <v>0</v>
      </c>
      <c r="BB24" s="37"/>
      <c r="BC24" s="587">
        <f t="shared" si="22"/>
        <v>0</v>
      </c>
      <c r="BD24" s="37">
        <f t="shared" si="23"/>
        <v>0</v>
      </c>
      <c r="BE24" s="979">
        <f t="shared" si="24"/>
        <v>0</v>
      </c>
      <c r="BF24" s="86">
        <f t="shared" si="25"/>
        <v>0</v>
      </c>
      <c r="BG24" s="953">
        <f>(BE24-BC24)*'E S'!$F$47</f>
        <v>0</v>
      </c>
      <c r="BH24" s="954"/>
      <c r="BI24" s="953">
        <f t="shared" si="26"/>
        <v>0</v>
      </c>
      <c r="BJ24" s="955"/>
      <c r="BK24" s="953">
        <f t="shared" si="27"/>
        <v>0</v>
      </c>
      <c r="BL24" s="955">
        <f t="shared" si="28"/>
        <v>0</v>
      </c>
      <c r="BM24" s="954"/>
      <c r="BN24" s="954"/>
      <c r="BO24" s="954"/>
      <c r="BP24" s="954">
        <v>1</v>
      </c>
      <c r="BQ24" s="956">
        <f t="shared" si="29"/>
        <v>0</v>
      </c>
      <c r="BR24" s="954">
        <v>2</v>
      </c>
      <c r="BS24" s="956">
        <f t="shared" si="30"/>
        <v>0</v>
      </c>
      <c r="BT24" s="954">
        <v>3</v>
      </c>
      <c r="BU24" s="956">
        <f t="shared" si="31"/>
        <v>0</v>
      </c>
      <c r="BV24" s="954">
        <v>4</v>
      </c>
      <c r="BW24" s="956">
        <f t="shared" si="32"/>
        <v>0</v>
      </c>
      <c r="BX24" s="954">
        <v>5</v>
      </c>
      <c r="BY24" s="956">
        <f t="shared" si="33"/>
        <v>0</v>
      </c>
      <c r="BZ24" s="954">
        <f t="shared" si="34"/>
        <v>15</v>
      </c>
      <c r="CA24" s="957">
        <f t="shared" si="35"/>
        <v>15</v>
      </c>
      <c r="CB24" s="957">
        <f t="shared" si="36"/>
        <v>15</v>
      </c>
      <c r="CC24" s="954">
        <f t="shared" si="37"/>
        <v>0</v>
      </c>
      <c r="CD24" s="958">
        <f t="shared" si="38"/>
        <v>0</v>
      </c>
      <c r="CE24" s="959">
        <f t="shared" si="39"/>
        <v>30</v>
      </c>
      <c r="CF24" s="960">
        <f t="shared" si="40"/>
        <v>0</v>
      </c>
      <c r="CG24" s="960">
        <f t="shared" si="41"/>
        <v>0</v>
      </c>
      <c r="CH24" s="960">
        <f t="shared" si="42"/>
        <v>0</v>
      </c>
      <c r="CI24" s="955">
        <f t="shared" si="43"/>
        <v>0</v>
      </c>
      <c r="CJ24" s="955">
        <f t="shared" si="44"/>
        <v>0</v>
      </c>
      <c r="CK24" s="954"/>
      <c r="CL24" s="964"/>
      <c r="CM24" s="965" t="s">
        <v>608</v>
      </c>
      <c r="CN24" s="966">
        <f t="shared" si="45"/>
        <v>0</v>
      </c>
      <c r="CO24" s="965" t="s">
        <v>609</v>
      </c>
      <c r="CP24" s="966">
        <f t="shared" si="46"/>
        <v>0</v>
      </c>
      <c r="CQ24" s="965" t="s">
        <v>610</v>
      </c>
      <c r="CR24" s="956">
        <f t="shared" si="47"/>
        <v>0</v>
      </c>
      <c r="CS24" s="964">
        <f t="shared" si="0"/>
        <v>0</v>
      </c>
      <c r="CT24" s="964"/>
      <c r="CU24" s="935"/>
      <c r="CV24" s="935"/>
      <c r="CW24" s="935"/>
      <c r="CX24" s="935"/>
      <c r="CY24" s="935"/>
      <c r="CZ24" s="935"/>
      <c r="DA24" s="935"/>
      <c r="DB24" s="935"/>
      <c r="DC24" s="935"/>
      <c r="DD24" s="935"/>
      <c r="DE24" s="935"/>
    </row>
    <row r="25" spans="1:109" s="3" customFormat="1" ht="12">
      <c r="A25" s="1">
        <v>13</v>
      </c>
      <c r="B25" s="80"/>
      <c r="E25" s="80"/>
      <c r="G25" s="80"/>
      <c r="I25" s="83"/>
      <c r="J25" s="35" t="str">
        <f t="shared" si="1"/>
        <v>.</v>
      </c>
      <c r="K25" s="83"/>
      <c r="L25" s="85"/>
      <c r="M25" s="80"/>
      <c r="N25" s="66"/>
      <c r="O25" s="593">
        <f t="shared" si="2"/>
        <v>0</v>
      </c>
      <c r="P25" s="66"/>
      <c r="Q25" s="80"/>
      <c r="R25" s="86">
        <f t="shared" si="3"/>
        <v>0</v>
      </c>
      <c r="S25" s="87"/>
      <c r="T25" s="38">
        <f t="shared" si="4"/>
        <v>0</v>
      </c>
      <c r="U25" s="969">
        <f t="shared" si="5"/>
        <v>0</v>
      </c>
      <c r="V25" s="38"/>
      <c r="W25" s="92"/>
      <c r="X25" s="93">
        <f t="shared" si="6"/>
        <v>0</v>
      </c>
      <c r="Y25" s="94"/>
      <c r="Z25" s="66"/>
      <c r="AA25" s="95"/>
      <c r="AC25" s="586">
        <f t="shared" si="7"/>
        <v>0</v>
      </c>
      <c r="AD25" s="37">
        <f t="shared" si="8"/>
        <v>0</v>
      </c>
      <c r="AE25" s="594"/>
      <c r="AF25" s="925"/>
      <c r="AG25" s="967">
        <f t="shared" si="9"/>
        <v>0</v>
      </c>
      <c r="AH25" s="968"/>
      <c r="AI25" s="969">
        <f t="shared" si="10"/>
        <v>0</v>
      </c>
      <c r="AJ25" s="595">
        <f t="shared" si="11"/>
        <v>0</v>
      </c>
      <c r="AK25" s="588">
        <f t="shared" si="12"/>
        <v>0</v>
      </c>
      <c r="AL25" s="595">
        <f t="shared" si="13"/>
        <v>0</v>
      </c>
      <c r="AM25" s="96"/>
      <c r="AN25" s="37"/>
      <c r="AO25" s="588">
        <f t="shared" si="14"/>
        <v>0</v>
      </c>
      <c r="AP25" s="37">
        <f t="shared" si="15"/>
        <v>0</v>
      </c>
      <c r="AQ25" s="883"/>
      <c r="AR25" s="37">
        <f t="shared" si="16"/>
        <v>0</v>
      </c>
      <c r="AS25" s="96"/>
      <c r="AT25" s="35" t="str">
        <f t="shared" si="17"/>
        <v>.</v>
      </c>
      <c r="AU25" s="96"/>
      <c r="AV25" s="37"/>
      <c r="AW25" s="588">
        <f t="shared" si="18"/>
        <v>0</v>
      </c>
      <c r="AX25" s="37">
        <f t="shared" si="19"/>
        <v>0</v>
      </c>
      <c r="AY25" s="588">
        <f>IF(PF!V19&gt;0,(CF25),0)</f>
        <v>0</v>
      </c>
      <c r="AZ25" s="37">
        <f t="shared" si="20"/>
        <v>0</v>
      </c>
      <c r="BA25" s="589">
        <f t="shared" si="21"/>
        <v>0</v>
      </c>
      <c r="BB25" s="37"/>
      <c r="BC25" s="587">
        <f t="shared" si="22"/>
        <v>0</v>
      </c>
      <c r="BD25" s="37">
        <f t="shared" si="23"/>
        <v>0</v>
      </c>
      <c r="BE25" s="979">
        <f t="shared" si="24"/>
        <v>0</v>
      </c>
      <c r="BF25" s="86">
        <f t="shared" si="25"/>
        <v>0</v>
      </c>
      <c r="BG25" s="953">
        <f>(BE25-BC25)*'E S'!$F$47</f>
        <v>0</v>
      </c>
      <c r="BH25" s="954"/>
      <c r="BI25" s="953">
        <f t="shared" si="26"/>
        <v>0</v>
      </c>
      <c r="BJ25" s="955"/>
      <c r="BK25" s="953">
        <f t="shared" si="27"/>
        <v>0</v>
      </c>
      <c r="BL25" s="955">
        <f t="shared" si="28"/>
        <v>0</v>
      </c>
      <c r="BM25" s="954"/>
      <c r="BN25" s="954"/>
      <c r="BO25" s="954"/>
      <c r="BP25" s="954">
        <v>1</v>
      </c>
      <c r="BQ25" s="956">
        <f t="shared" si="29"/>
        <v>0</v>
      </c>
      <c r="BR25" s="954">
        <v>2</v>
      </c>
      <c r="BS25" s="956">
        <f t="shared" si="30"/>
        <v>0</v>
      </c>
      <c r="BT25" s="954">
        <v>3</v>
      </c>
      <c r="BU25" s="956">
        <f t="shared" si="31"/>
        <v>0</v>
      </c>
      <c r="BV25" s="954">
        <v>4</v>
      </c>
      <c r="BW25" s="956">
        <f t="shared" si="32"/>
        <v>0</v>
      </c>
      <c r="BX25" s="954">
        <v>5</v>
      </c>
      <c r="BY25" s="956">
        <f t="shared" si="33"/>
        <v>0</v>
      </c>
      <c r="BZ25" s="954">
        <f t="shared" si="34"/>
        <v>0</v>
      </c>
      <c r="CA25" s="957">
        <f t="shared" si="35"/>
        <v>0</v>
      </c>
      <c r="CB25" s="957">
        <f t="shared" si="36"/>
        <v>0</v>
      </c>
      <c r="CC25" s="954">
        <f t="shared" si="37"/>
        <v>0</v>
      </c>
      <c r="CD25" s="958">
        <f t="shared" si="38"/>
        <v>0</v>
      </c>
      <c r="CE25" s="959">
        <f t="shared" si="39"/>
        <v>0</v>
      </c>
      <c r="CF25" s="960">
        <f t="shared" si="40"/>
        <v>0</v>
      </c>
      <c r="CG25" s="960">
        <f t="shared" si="41"/>
        <v>0</v>
      </c>
      <c r="CH25" s="960">
        <f t="shared" si="42"/>
        <v>0</v>
      </c>
      <c r="CI25" s="955">
        <f t="shared" si="43"/>
        <v>0</v>
      </c>
      <c r="CJ25" s="955">
        <f t="shared" si="44"/>
        <v>0</v>
      </c>
      <c r="CK25" s="954"/>
      <c r="CL25" s="964"/>
      <c r="CM25" s="965" t="s">
        <v>608</v>
      </c>
      <c r="CN25" s="966">
        <f t="shared" si="45"/>
        <v>0</v>
      </c>
      <c r="CO25" s="965" t="s">
        <v>609</v>
      </c>
      <c r="CP25" s="966">
        <f t="shared" si="46"/>
        <v>0</v>
      </c>
      <c r="CQ25" s="965" t="s">
        <v>610</v>
      </c>
      <c r="CR25" s="956">
        <f t="shared" si="47"/>
        <v>0</v>
      </c>
      <c r="CS25" s="964">
        <f t="shared" si="0"/>
        <v>0</v>
      </c>
      <c r="CT25" s="964"/>
      <c r="CU25" s="935"/>
      <c r="CV25" s="935"/>
      <c r="CW25" s="935"/>
      <c r="CX25" s="935"/>
      <c r="CY25" s="935"/>
      <c r="CZ25" s="935"/>
      <c r="DA25" s="935"/>
      <c r="DB25" s="935"/>
      <c r="DC25" s="935"/>
      <c r="DD25" s="935"/>
      <c r="DE25" s="935"/>
    </row>
    <row r="26" spans="1:109" s="3" customFormat="1" ht="12" hidden="1">
      <c r="A26" s="1">
        <v>14</v>
      </c>
      <c r="B26" s="80"/>
      <c r="E26" s="80"/>
      <c r="G26" s="80"/>
      <c r="I26" s="82"/>
      <c r="J26" s="35" t="str">
        <f t="shared" si="1"/>
        <v>.</v>
      </c>
      <c r="K26" s="83"/>
      <c r="L26" s="85"/>
      <c r="M26" s="80"/>
      <c r="N26" s="66"/>
      <c r="O26" s="593">
        <f t="shared" si="2"/>
        <v>0</v>
      </c>
      <c r="P26" s="66"/>
      <c r="Q26" s="80"/>
      <c r="R26" s="86">
        <f t="shared" si="3"/>
        <v>0</v>
      </c>
      <c r="S26" s="87"/>
      <c r="T26" s="38">
        <f t="shared" si="4"/>
        <v>0</v>
      </c>
      <c r="U26" s="969">
        <f t="shared" si="5"/>
        <v>0</v>
      </c>
      <c r="V26" s="38"/>
      <c r="W26" s="92"/>
      <c r="X26" s="93">
        <f t="shared" si="6"/>
        <v>0</v>
      </c>
      <c r="Y26" s="94"/>
      <c r="Z26" s="66"/>
      <c r="AA26" s="95"/>
      <c r="AC26" s="586">
        <f t="shared" si="7"/>
        <v>0</v>
      </c>
      <c r="AD26" s="37">
        <f t="shared" si="8"/>
        <v>0</v>
      </c>
      <c r="AE26" s="594"/>
      <c r="AF26" s="925"/>
      <c r="AG26" s="967">
        <f t="shared" si="9"/>
        <v>0</v>
      </c>
      <c r="AH26" s="968"/>
      <c r="AI26" s="969">
        <f t="shared" si="10"/>
        <v>0</v>
      </c>
      <c r="AJ26" s="595">
        <f t="shared" si="11"/>
        <v>0</v>
      </c>
      <c r="AK26" s="588">
        <f t="shared" si="12"/>
        <v>0</v>
      </c>
      <c r="AL26" s="595">
        <f t="shared" si="13"/>
        <v>0</v>
      </c>
      <c r="AM26" s="96"/>
      <c r="AN26" s="37"/>
      <c r="AO26" s="588">
        <f t="shared" si="14"/>
        <v>0</v>
      </c>
      <c r="AP26" s="37">
        <f t="shared" si="15"/>
        <v>0</v>
      </c>
      <c r="AQ26" s="883"/>
      <c r="AR26" s="37">
        <f t="shared" si="16"/>
        <v>0</v>
      </c>
      <c r="AS26" s="96"/>
      <c r="AT26" s="35" t="str">
        <f t="shared" si="17"/>
        <v>.</v>
      </c>
      <c r="AU26" s="96"/>
      <c r="AV26" s="37"/>
      <c r="AW26" s="588">
        <f t="shared" si="18"/>
        <v>0</v>
      </c>
      <c r="AX26" s="37">
        <f t="shared" si="19"/>
        <v>0</v>
      </c>
      <c r="AY26" s="588">
        <f>IF(PF!V20&gt;0,(CF26),0)</f>
        <v>0</v>
      </c>
      <c r="AZ26" s="37">
        <f t="shared" si="20"/>
        <v>0</v>
      </c>
      <c r="BA26" s="589">
        <f t="shared" si="21"/>
        <v>0</v>
      </c>
      <c r="BB26" s="37"/>
      <c r="BC26" s="587">
        <f t="shared" si="22"/>
        <v>0</v>
      </c>
      <c r="BD26" s="37">
        <f t="shared" si="23"/>
        <v>0</v>
      </c>
      <c r="BE26" s="979">
        <f t="shared" si="24"/>
        <v>0</v>
      </c>
      <c r="BF26" s="86">
        <f t="shared" si="25"/>
        <v>0</v>
      </c>
      <c r="BG26" s="953">
        <f>(BE26-BC26)*'E S'!$F$47</f>
        <v>0</v>
      </c>
      <c r="BH26" s="954"/>
      <c r="BI26" s="953">
        <f t="shared" si="26"/>
        <v>0</v>
      </c>
      <c r="BJ26" s="955"/>
      <c r="BK26" s="953">
        <f t="shared" si="27"/>
        <v>0</v>
      </c>
      <c r="BL26" s="955">
        <f t="shared" si="28"/>
        <v>0</v>
      </c>
      <c r="BM26" s="954"/>
      <c r="BN26" s="954"/>
      <c r="BO26" s="954"/>
      <c r="BP26" s="954">
        <v>1</v>
      </c>
      <c r="BQ26" s="956">
        <f t="shared" si="29"/>
        <v>0</v>
      </c>
      <c r="BR26" s="954">
        <v>2</v>
      </c>
      <c r="BS26" s="956">
        <f t="shared" si="30"/>
        <v>0</v>
      </c>
      <c r="BT26" s="954">
        <v>3</v>
      </c>
      <c r="BU26" s="956">
        <f t="shared" si="31"/>
        <v>0</v>
      </c>
      <c r="BV26" s="954">
        <v>4</v>
      </c>
      <c r="BW26" s="956">
        <f t="shared" si="32"/>
        <v>0</v>
      </c>
      <c r="BX26" s="954">
        <v>5</v>
      </c>
      <c r="BY26" s="956">
        <f t="shared" si="33"/>
        <v>0</v>
      </c>
      <c r="BZ26" s="954">
        <f t="shared" si="34"/>
        <v>0</v>
      </c>
      <c r="CA26" s="957">
        <f t="shared" si="35"/>
        <v>0</v>
      </c>
      <c r="CB26" s="957">
        <f t="shared" si="36"/>
        <v>0</v>
      </c>
      <c r="CC26" s="954">
        <f t="shared" si="37"/>
        <v>0</v>
      </c>
      <c r="CD26" s="958">
        <f t="shared" si="38"/>
        <v>0</v>
      </c>
      <c r="CE26" s="959">
        <f t="shared" si="39"/>
        <v>0</v>
      </c>
      <c r="CF26" s="960">
        <f t="shared" si="40"/>
        <v>0</v>
      </c>
      <c r="CG26" s="960">
        <f t="shared" si="41"/>
        <v>0</v>
      </c>
      <c r="CH26" s="960">
        <f t="shared" si="42"/>
        <v>0</v>
      </c>
      <c r="CI26" s="955">
        <f t="shared" si="43"/>
        <v>0</v>
      </c>
      <c r="CJ26" s="955">
        <f t="shared" si="44"/>
        <v>0</v>
      </c>
      <c r="CK26" s="954"/>
      <c r="CL26" s="964"/>
      <c r="CM26" s="965" t="s">
        <v>608</v>
      </c>
      <c r="CN26" s="966">
        <f t="shared" si="45"/>
        <v>0</v>
      </c>
      <c r="CO26" s="965" t="s">
        <v>609</v>
      </c>
      <c r="CP26" s="966">
        <f t="shared" si="46"/>
        <v>0</v>
      </c>
      <c r="CQ26" s="965" t="s">
        <v>610</v>
      </c>
      <c r="CR26" s="956">
        <f t="shared" si="47"/>
        <v>0</v>
      </c>
      <c r="CS26" s="964">
        <f t="shared" si="0"/>
        <v>0</v>
      </c>
      <c r="CT26" s="964"/>
      <c r="CU26" s="935"/>
      <c r="CV26" s="935"/>
      <c r="CW26" s="935"/>
      <c r="CX26" s="935"/>
      <c r="CY26" s="935"/>
      <c r="CZ26" s="935"/>
      <c r="DA26" s="935"/>
      <c r="DB26" s="935"/>
      <c r="DC26" s="935"/>
      <c r="DD26" s="935"/>
      <c r="DE26" s="935"/>
    </row>
    <row r="27" spans="1:109" s="3" customFormat="1" ht="12" hidden="1">
      <c r="A27" s="1">
        <v>15</v>
      </c>
      <c r="B27" s="80"/>
      <c r="E27" s="80"/>
      <c r="G27" s="80"/>
      <c r="I27" s="82"/>
      <c r="J27" s="35" t="str">
        <f t="shared" si="1"/>
        <v>.</v>
      </c>
      <c r="K27" s="83"/>
      <c r="L27" s="85"/>
      <c r="M27" s="80"/>
      <c r="N27" s="66"/>
      <c r="O27" s="593">
        <f t="shared" si="2"/>
        <v>0</v>
      </c>
      <c r="P27" s="66"/>
      <c r="Q27" s="89"/>
      <c r="R27" s="86">
        <f t="shared" si="3"/>
        <v>0</v>
      </c>
      <c r="S27" s="87"/>
      <c r="T27" s="38">
        <f t="shared" si="4"/>
        <v>0</v>
      </c>
      <c r="U27" s="969">
        <f t="shared" si="5"/>
        <v>0</v>
      </c>
      <c r="V27" s="38"/>
      <c r="W27" s="92"/>
      <c r="X27" s="93">
        <f t="shared" si="6"/>
        <v>0</v>
      </c>
      <c r="Y27" s="94"/>
      <c r="Z27" s="66"/>
      <c r="AA27" s="95"/>
      <c r="AC27" s="586">
        <f t="shared" si="7"/>
        <v>0</v>
      </c>
      <c r="AD27" s="37">
        <f t="shared" si="8"/>
        <v>0</v>
      </c>
      <c r="AE27" s="594"/>
      <c r="AF27" s="925"/>
      <c r="AG27" s="967">
        <f t="shared" si="9"/>
        <v>0</v>
      </c>
      <c r="AH27" s="968"/>
      <c r="AI27" s="969">
        <f t="shared" si="10"/>
        <v>0</v>
      </c>
      <c r="AJ27" s="595">
        <f t="shared" si="11"/>
        <v>0</v>
      </c>
      <c r="AK27" s="588">
        <f t="shared" si="12"/>
        <v>0</v>
      </c>
      <c r="AL27" s="595">
        <f t="shared" si="13"/>
        <v>0</v>
      </c>
      <c r="AM27" s="96"/>
      <c r="AN27" s="37"/>
      <c r="AO27" s="588">
        <f t="shared" si="14"/>
        <v>0</v>
      </c>
      <c r="AP27" s="37">
        <f t="shared" si="15"/>
        <v>0</v>
      </c>
      <c r="AQ27" s="883"/>
      <c r="AR27" s="37">
        <f t="shared" si="16"/>
        <v>0</v>
      </c>
      <c r="AS27" s="96"/>
      <c r="AT27" s="35" t="str">
        <f t="shared" si="17"/>
        <v>.</v>
      </c>
      <c r="AU27" s="96"/>
      <c r="AV27" s="37"/>
      <c r="AW27" s="588">
        <f t="shared" si="18"/>
        <v>0</v>
      </c>
      <c r="AX27" s="37">
        <f t="shared" si="19"/>
        <v>0</v>
      </c>
      <c r="AY27" s="588">
        <f>IF(PF!V21&gt;0,(CF27),0)</f>
        <v>0</v>
      </c>
      <c r="AZ27" s="37">
        <f t="shared" si="20"/>
        <v>0</v>
      </c>
      <c r="BA27" s="589">
        <f t="shared" si="21"/>
        <v>0</v>
      </c>
      <c r="BB27" s="37"/>
      <c r="BC27" s="587">
        <f t="shared" si="22"/>
        <v>0</v>
      </c>
      <c r="BD27" s="37">
        <f t="shared" si="23"/>
        <v>0</v>
      </c>
      <c r="BE27" s="979">
        <f t="shared" si="24"/>
        <v>0</v>
      </c>
      <c r="BF27" s="86">
        <f t="shared" si="25"/>
        <v>0</v>
      </c>
      <c r="BG27" s="953">
        <f>(BE27-BC27)*'E S'!$F$47</f>
        <v>0</v>
      </c>
      <c r="BH27" s="954"/>
      <c r="BI27" s="953">
        <f t="shared" si="26"/>
        <v>0</v>
      </c>
      <c r="BJ27" s="955"/>
      <c r="BK27" s="953">
        <f t="shared" si="27"/>
        <v>0</v>
      </c>
      <c r="BL27" s="955">
        <f t="shared" si="28"/>
        <v>0</v>
      </c>
      <c r="BM27" s="954"/>
      <c r="BN27" s="954"/>
      <c r="BO27" s="954"/>
      <c r="BP27" s="954">
        <v>1</v>
      </c>
      <c r="BQ27" s="956">
        <f t="shared" si="29"/>
        <v>0</v>
      </c>
      <c r="BR27" s="954">
        <v>2</v>
      </c>
      <c r="BS27" s="956">
        <f t="shared" si="30"/>
        <v>0</v>
      </c>
      <c r="BT27" s="954">
        <v>3</v>
      </c>
      <c r="BU27" s="956">
        <f t="shared" si="31"/>
        <v>0</v>
      </c>
      <c r="BV27" s="954">
        <v>4</v>
      </c>
      <c r="BW27" s="956">
        <f t="shared" si="32"/>
        <v>0</v>
      </c>
      <c r="BX27" s="954">
        <v>5</v>
      </c>
      <c r="BY27" s="956">
        <f t="shared" si="33"/>
        <v>0</v>
      </c>
      <c r="BZ27" s="954">
        <f t="shared" si="34"/>
        <v>0</v>
      </c>
      <c r="CA27" s="957">
        <f t="shared" si="35"/>
        <v>0</v>
      </c>
      <c r="CB27" s="957">
        <f t="shared" si="36"/>
        <v>0</v>
      </c>
      <c r="CC27" s="954">
        <f t="shared" si="37"/>
        <v>0</v>
      </c>
      <c r="CD27" s="958">
        <f t="shared" si="38"/>
        <v>0</v>
      </c>
      <c r="CE27" s="959">
        <f t="shared" si="39"/>
        <v>0</v>
      </c>
      <c r="CF27" s="960">
        <f t="shared" si="40"/>
        <v>0</v>
      </c>
      <c r="CG27" s="960">
        <f t="shared" si="41"/>
        <v>0</v>
      </c>
      <c r="CH27" s="960">
        <f t="shared" si="42"/>
        <v>0</v>
      </c>
      <c r="CI27" s="955">
        <f t="shared" si="43"/>
        <v>0</v>
      </c>
      <c r="CJ27" s="955">
        <f t="shared" si="44"/>
        <v>0</v>
      </c>
      <c r="CK27" s="954"/>
      <c r="CL27" s="964"/>
      <c r="CM27" s="965" t="s">
        <v>608</v>
      </c>
      <c r="CN27" s="966">
        <f t="shared" si="45"/>
        <v>0</v>
      </c>
      <c r="CO27" s="965" t="s">
        <v>609</v>
      </c>
      <c r="CP27" s="966">
        <f t="shared" si="46"/>
        <v>0</v>
      </c>
      <c r="CQ27" s="965" t="s">
        <v>610</v>
      </c>
      <c r="CR27" s="956">
        <f t="shared" si="47"/>
        <v>0</v>
      </c>
      <c r="CS27" s="964">
        <f t="shared" si="0"/>
        <v>0</v>
      </c>
      <c r="CT27" s="964"/>
      <c r="CU27" s="935"/>
      <c r="CV27" s="935"/>
      <c r="CW27" s="935"/>
      <c r="CX27" s="935"/>
      <c r="CY27" s="935"/>
      <c r="CZ27" s="935"/>
      <c r="DA27" s="935"/>
      <c r="DB27" s="935"/>
      <c r="DC27" s="935"/>
      <c r="DD27" s="935"/>
      <c r="DE27" s="935"/>
    </row>
    <row r="28" spans="1:109" s="3" customFormat="1" ht="12" hidden="1">
      <c r="A28" s="1">
        <v>16</v>
      </c>
      <c r="B28" s="80"/>
      <c r="E28" s="80"/>
      <c r="G28" s="80"/>
      <c r="I28" s="82"/>
      <c r="J28" s="35" t="str">
        <f t="shared" si="1"/>
        <v>.</v>
      </c>
      <c r="K28" s="83"/>
      <c r="L28" s="85"/>
      <c r="M28" s="80"/>
      <c r="N28" s="66"/>
      <c r="O28" s="593">
        <f t="shared" si="2"/>
        <v>0</v>
      </c>
      <c r="P28" s="66"/>
      <c r="Q28" s="80"/>
      <c r="R28" s="86">
        <f t="shared" si="3"/>
        <v>0</v>
      </c>
      <c r="S28" s="87"/>
      <c r="T28" s="38">
        <f t="shared" si="4"/>
        <v>0</v>
      </c>
      <c r="U28" s="969">
        <f t="shared" si="5"/>
        <v>0</v>
      </c>
      <c r="V28" s="38"/>
      <c r="W28" s="92"/>
      <c r="X28" s="93">
        <f t="shared" si="6"/>
        <v>0</v>
      </c>
      <c r="Y28" s="94"/>
      <c r="Z28" s="66"/>
      <c r="AA28" s="95"/>
      <c r="AC28" s="586">
        <f t="shared" si="7"/>
        <v>0</v>
      </c>
      <c r="AD28" s="37">
        <f t="shared" si="8"/>
        <v>0</v>
      </c>
      <c r="AE28" s="594"/>
      <c r="AF28" s="925"/>
      <c r="AG28" s="967">
        <f t="shared" si="9"/>
        <v>0</v>
      </c>
      <c r="AH28" s="968"/>
      <c r="AI28" s="969">
        <f t="shared" si="10"/>
        <v>0</v>
      </c>
      <c r="AJ28" s="595">
        <f t="shared" si="11"/>
        <v>0</v>
      </c>
      <c r="AK28" s="588">
        <f t="shared" si="12"/>
        <v>0</v>
      </c>
      <c r="AL28" s="595">
        <f t="shared" si="13"/>
        <v>0</v>
      </c>
      <c r="AM28" s="96"/>
      <c r="AN28" s="37"/>
      <c r="AO28" s="588">
        <f t="shared" si="14"/>
        <v>0</v>
      </c>
      <c r="AP28" s="37">
        <f t="shared" si="15"/>
        <v>0</v>
      </c>
      <c r="AQ28" s="883"/>
      <c r="AR28" s="37">
        <f t="shared" si="16"/>
        <v>0</v>
      </c>
      <c r="AS28" s="96"/>
      <c r="AT28" s="35" t="str">
        <f t="shared" si="17"/>
        <v>.</v>
      </c>
      <c r="AU28" s="96"/>
      <c r="AV28" s="37"/>
      <c r="AW28" s="588">
        <f t="shared" si="18"/>
        <v>0</v>
      </c>
      <c r="AX28" s="37">
        <f t="shared" si="19"/>
        <v>0</v>
      </c>
      <c r="AY28" s="588">
        <f>IF(PF!V22&gt;0,(CF28),0)</f>
        <v>0</v>
      </c>
      <c r="AZ28" s="37">
        <f t="shared" si="20"/>
        <v>0</v>
      </c>
      <c r="BA28" s="589">
        <f t="shared" si="21"/>
        <v>0</v>
      </c>
      <c r="BB28" s="37"/>
      <c r="BC28" s="587">
        <f t="shared" si="22"/>
        <v>0</v>
      </c>
      <c r="BD28" s="37">
        <f t="shared" si="23"/>
        <v>0</v>
      </c>
      <c r="BE28" s="979">
        <f t="shared" si="24"/>
        <v>0</v>
      </c>
      <c r="BF28" s="86">
        <f t="shared" si="25"/>
        <v>0</v>
      </c>
      <c r="BG28" s="953">
        <f>(BE28-BC28)*'E S'!$F$47</f>
        <v>0</v>
      </c>
      <c r="BH28" s="954"/>
      <c r="BI28" s="953">
        <f t="shared" si="26"/>
        <v>0</v>
      </c>
      <c r="BJ28" s="955"/>
      <c r="BK28" s="953">
        <f t="shared" si="27"/>
        <v>0</v>
      </c>
      <c r="BL28" s="955">
        <f t="shared" si="28"/>
        <v>0</v>
      </c>
      <c r="BM28" s="954"/>
      <c r="BN28" s="954"/>
      <c r="BO28" s="954"/>
      <c r="BP28" s="954">
        <v>1</v>
      </c>
      <c r="BQ28" s="956">
        <f t="shared" si="29"/>
        <v>0</v>
      </c>
      <c r="BR28" s="954">
        <v>2</v>
      </c>
      <c r="BS28" s="956">
        <f t="shared" si="30"/>
        <v>0</v>
      </c>
      <c r="BT28" s="954">
        <v>3</v>
      </c>
      <c r="BU28" s="956">
        <f t="shared" si="31"/>
        <v>0</v>
      </c>
      <c r="BV28" s="954">
        <v>4</v>
      </c>
      <c r="BW28" s="956">
        <f t="shared" si="32"/>
        <v>0</v>
      </c>
      <c r="BX28" s="954">
        <v>5</v>
      </c>
      <c r="BY28" s="956">
        <f t="shared" si="33"/>
        <v>0</v>
      </c>
      <c r="BZ28" s="954">
        <f t="shared" si="34"/>
        <v>0</v>
      </c>
      <c r="CA28" s="957">
        <f t="shared" si="35"/>
        <v>0</v>
      </c>
      <c r="CB28" s="957">
        <f t="shared" si="36"/>
        <v>0</v>
      </c>
      <c r="CC28" s="954">
        <f t="shared" si="37"/>
        <v>0</v>
      </c>
      <c r="CD28" s="958">
        <f t="shared" si="38"/>
        <v>0</v>
      </c>
      <c r="CE28" s="959">
        <f t="shared" si="39"/>
        <v>0</v>
      </c>
      <c r="CF28" s="960">
        <f t="shared" si="40"/>
        <v>0</v>
      </c>
      <c r="CG28" s="960">
        <f t="shared" si="41"/>
        <v>0</v>
      </c>
      <c r="CH28" s="960">
        <f t="shared" si="42"/>
        <v>0</v>
      </c>
      <c r="CI28" s="955">
        <f t="shared" si="43"/>
        <v>0</v>
      </c>
      <c r="CJ28" s="955">
        <f t="shared" si="44"/>
        <v>0</v>
      </c>
      <c r="CK28" s="954"/>
      <c r="CL28" s="964"/>
      <c r="CM28" s="965" t="s">
        <v>608</v>
      </c>
      <c r="CN28" s="966">
        <f t="shared" si="45"/>
        <v>0</v>
      </c>
      <c r="CO28" s="965" t="s">
        <v>609</v>
      </c>
      <c r="CP28" s="966">
        <f t="shared" si="46"/>
        <v>0</v>
      </c>
      <c r="CQ28" s="965" t="s">
        <v>610</v>
      </c>
      <c r="CR28" s="956">
        <f t="shared" si="47"/>
        <v>0</v>
      </c>
      <c r="CS28" s="964">
        <f t="shared" si="0"/>
        <v>0</v>
      </c>
      <c r="CT28" s="964"/>
      <c r="CU28" s="935"/>
      <c r="CV28" s="935"/>
      <c r="CW28" s="935"/>
      <c r="CX28" s="935"/>
      <c r="CY28" s="935"/>
      <c r="CZ28" s="935"/>
      <c r="DA28" s="935"/>
      <c r="DB28" s="935"/>
      <c r="DC28" s="935"/>
      <c r="DD28" s="935"/>
      <c r="DE28" s="935"/>
    </row>
    <row r="29" spans="1:109" s="3" customFormat="1" ht="12" hidden="1">
      <c r="A29" s="1">
        <v>17</v>
      </c>
      <c r="B29" s="80"/>
      <c r="E29" s="80"/>
      <c r="G29" s="80"/>
      <c r="I29" s="83"/>
      <c r="J29" s="35" t="str">
        <f t="shared" si="1"/>
        <v>.</v>
      </c>
      <c r="K29" s="83"/>
      <c r="L29" s="85"/>
      <c r="M29" s="80"/>
      <c r="N29" s="66"/>
      <c r="O29" s="593">
        <f t="shared" si="2"/>
        <v>0</v>
      </c>
      <c r="P29" s="66"/>
      <c r="Q29" s="80"/>
      <c r="R29" s="86">
        <f t="shared" si="3"/>
        <v>0</v>
      </c>
      <c r="S29" s="87"/>
      <c r="T29" s="38">
        <f t="shared" si="4"/>
        <v>0</v>
      </c>
      <c r="U29" s="969">
        <f t="shared" si="5"/>
        <v>0</v>
      </c>
      <c r="V29" s="38"/>
      <c r="W29" s="92"/>
      <c r="X29" s="93">
        <f t="shared" si="6"/>
        <v>0</v>
      </c>
      <c r="Y29" s="94"/>
      <c r="Z29" s="66"/>
      <c r="AA29" s="95"/>
      <c r="AC29" s="586">
        <f t="shared" si="7"/>
        <v>0</v>
      </c>
      <c r="AD29" s="37">
        <f t="shared" si="8"/>
        <v>0</v>
      </c>
      <c r="AE29" s="594"/>
      <c r="AF29" s="925"/>
      <c r="AG29" s="967">
        <f t="shared" si="9"/>
        <v>0</v>
      </c>
      <c r="AH29" s="968"/>
      <c r="AI29" s="969">
        <f t="shared" si="10"/>
        <v>0</v>
      </c>
      <c r="AJ29" s="595">
        <f t="shared" si="11"/>
        <v>0</v>
      </c>
      <c r="AK29" s="588">
        <f t="shared" si="12"/>
        <v>0</v>
      </c>
      <c r="AL29" s="595">
        <f t="shared" si="13"/>
        <v>0</v>
      </c>
      <c r="AM29" s="96"/>
      <c r="AN29" s="37"/>
      <c r="AO29" s="588">
        <f t="shared" si="14"/>
        <v>0</v>
      </c>
      <c r="AP29" s="37">
        <f t="shared" si="15"/>
        <v>0</v>
      </c>
      <c r="AQ29" s="883"/>
      <c r="AR29" s="37">
        <f t="shared" si="16"/>
        <v>0</v>
      </c>
      <c r="AS29" s="96"/>
      <c r="AT29" s="35" t="str">
        <f t="shared" si="17"/>
        <v>.</v>
      </c>
      <c r="AU29" s="96"/>
      <c r="AV29" s="37"/>
      <c r="AW29" s="588">
        <f t="shared" si="18"/>
        <v>0</v>
      </c>
      <c r="AX29" s="37">
        <f t="shared" si="19"/>
        <v>0</v>
      </c>
      <c r="AY29" s="588">
        <f>IF(PF!V23&gt;0,(CF29),0)</f>
        <v>0</v>
      </c>
      <c r="AZ29" s="37">
        <f t="shared" si="20"/>
        <v>0</v>
      </c>
      <c r="BA29" s="589">
        <f t="shared" si="21"/>
        <v>0</v>
      </c>
      <c r="BB29" s="37"/>
      <c r="BC29" s="587">
        <f t="shared" si="22"/>
        <v>0</v>
      </c>
      <c r="BD29" s="37">
        <f t="shared" si="23"/>
        <v>0</v>
      </c>
      <c r="BE29" s="979">
        <f t="shared" si="24"/>
        <v>0</v>
      </c>
      <c r="BF29" s="86">
        <f t="shared" si="25"/>
        <v>0</v>
      </c>
      <c r="BG29" s="953">
        <f>(BE29-BC29)*'E S'!$F$47</f>
        <v>0</v>
      </c>
      <c r="BH29" s="954"/>
      <c r="BI29" s="953">
        <f t="shared" si="26"/>
        <v>0</v>
      </c>
      <c r="BJ29" s="955"/>
      <c r="BK29" s="953">
        <f t="shared" si="27"/>
        <v>0</v>
      </c>
      <c r="BL29" s="955">
        <f t="shared" si="28"/>
        <v>0</v>
      </c>
      <c r="BM29" s="954"/>
      <c r="BN29" s="954"/>
      <c r="BO29" s="954"/>
      <c r="BP29" s="954">
        <v>1</v>
      </c>
      <c r="BQ29" s="956">
        <f t="shared" si="29"/>
        <v>0</v>
      </c>
      <c r="BR29" s="954">
        <v>2</v>
      </c>
      <c r="BS29" s="956">
        <f t="shared" si="30"/>
        <v>0</v>
      </c>
      <c r="BT29" s="954">
        <v>3</v>
      </c>
      <c r="BU29" s="956">
        <f t="shared" si="31"/>
        <v>0</v>
      </c>
      <c r="BV29" s="954">
        <v>4</v>
      </c>
      <c r="BW29" s="956">
        <f t="shared" si="32"/>
        <v>0</v>
      </c>
      <c r="BX29" s="954">
        <v>5</v>
      </c>
      <c r="BY29" s="956">
        <f t="shared" si="33"/>
        <v>0</v>
      </c>
      <c r="BZ29" s="954">
        <f t="shared" si="34"/>
        <v>0</v>
      </c>
      <c r="CA29" s="957">
        <f t="shared" si="35"/>
        <v>0</v>
      </c>
      <c r="CB29" s="957">
        <f t="shared" si="36"/>
        <v>0</v>
      </c>
      <c r="CC29" s="954">
        <f t="shared" si="37"/>
        <v>0</v>
      </c>
      <c r="CD29" s="958">
        <f t="shared" si="38"/>
        <v>0</v>
      </c>
      <c r="CE29" s="959">
        <f t="shared" si="39"/>
        <v>0</v>
      </c>
      <c r="CF29" s="960">
        <f t="shared" si="40"/>
        <v>0</v>
      </c>
      <c r="CG29" s="960">
        <f t="shared" si="41"/>
        <v>0</v>
      </c>
      <c r="CH29" s="960">
        <f t="shared" si="42"/>
        <v>0</v>
      </c>
      <c r="CI29" s="955">
        <f t="shared" si="43"/>
        <v>0</v>
      </c>
      <c r="CJ29" s="955">
        <f t="shared" si="44"/>
        <v>0</v>
      </c>
      <c r="CK29" s="954"/>
      <c r="CL29" s="964"/>
      <c r="CM29" s="965" t="s">
        <v>608</v>
      </c>
      <c r="CN29" s="966">
        <f t="shared" si="45"/>
        <v>0</v>
      </c>
      <c r="CO29" s="965" t="s">
        <v>609</v>
      </c>
      <c r="CP29" s="966">
        <f t="shared" si="46"/>
        <v>0</v>
      </c>
      <c r="CQ29" s="965" t="s">
        <v>610</v>
      </c>
      <c r="CR29" s="956">
        <f t="shared" si="47"/>
        <v>0</v>
      </c>
      <c r="CS29" s="964">
        <f t="shared" si="0"/>
        <v>0</v>
      </c>
      <c r="CT29" s="964"/>
      <c r="CU29" s="935"/>
      <c r="CV29" s="935"/>
      <c r="CW29" s="935"/>
      <c r="CX29" s="935"/>
      <c r="CY29" s="935"/>
      <c r="CZ29" s="935"/>
      <c r="DA29" s="935"/>
      <c r="DB29" s="935"/>
      <c r="DC29" s="935"/>
      <c r="DD29" s="935"/>
      <c r="DE29" s="935"/>
    </row>
    <row r="30" spans="1:109" s="3" customFormat="1" ht="12" hidden="1">
      <c r="A30" s="1">
        <v>18</v>
      </c>
      <c r="B30" s="80"/>
      <c r="E30" s="80"/>
      <c r="G30" s="80"/>
      <c r="I30" s="83"/>
      <c r="J30" s="35" t="str">
        <f t="shared" si="1"/>
        <v>.</v>
      </c>
      <c r="K30" s="83"/>
      <c r="L30" s="85"/>
      <c r="M30" s="80"/>
      <c r="N30" s="66"/>
      <c r="O30" s="593">
        <f t="shared" si="2"/>
        <v>0</v>
      </c>
      <c r="P30" s="66"/>
      <c r="Q30" s="80"/>
      <c r="R30" s="86">
        <f t="shared" si="3"/>
        <v>0</v>
      </c>
      <c r="S30" s="87"/>
      <c r="T30" s="38">
        <f t="shared" si="4"/>
        <v>0</v>
      </c>
      <c r="U30" s="969">
        <f t="shared" si="5"/>
        <v>0</v>
      </c>
      <c r="V30" s="38"/>
      <c r="W30" s="92"/>
      <c r="X30" s="93">
        <f t="shared" si="6"/>
        <v>0</v>
      </c>
      <c r="Y30" s="94"/>
      <c r="Z30" s="66"/>
      <c r="AA30" s="95"/>
      <c r="AC30" s="586">
        <f t="shared" si="7"/>
        <v>0</v>
      </c>
      <c r="AD30" s="37">
        <f t="shared" si="8"/>
        <v>0</v>
      </c>
      <c r="AE30" s="594"/>
      <c r="AF30" s="925"/>
      <c r="AG30" s="967">
        <f t="shared" si="9"/>
        <v>0</v>
      </c>
      <c r="AH30" s="968"/>
      <c r="AI30" s="969">
        <f t="shared" si="10"/>
        <v>0</v>
      </c>
      <c r="AJ30" s="595">
        <f t="shared" si="11"/>
        <v>0</v>
      </c>
      <c r="AK30" s="588">
        <f t="shared" si="12"/>
        <v>0</v>
      </c>
      <c r="AL30" s="595">
        <f t="shared" si="13"/>
        <v>0</v>
      </c>
      <c r="AM30" s="96"/>
      <c r="AN30" s="37"/>
      <c r="AO30" s="588">
        <f t="shared" si="14"/>
        <v>0</v>
      </c>
      <c r="AP30" s="37">
        <f t="shared" si="15"/>
        <v>0</v>
      </c>
      <c r="AQ30" s="883"/>
      <c r="AR30" s="37">
        <f t="shared" si="16"/>
        <v>0</v>
      </c>
      <c r="AS30" s="96"/>
      <c r="AT30" s="35" t="str">
        <f t="shared" si="17"/>
        <v>.</v>
      </c>
      <c r="AU30" s="96"/>
      <c r="AV30" s="37"/>
      <c r="AW30" s="588">
        <f t="shared" si="18"/>
        <v>0</v>
      </c>
      <c r="AX30" s="37">
        <f t="shared" si="19"/>
        <v>0</v>
      </c>
      <c r="AY30" s="588">
        <f>IF(PF!V24&gt;0,(CF30),0)</f>
        <v>0</v>
      </c>
      <c r="AZ30" s="37">
        <f t="shared" si="20"/>
        <v>0</v>
      </c>
      <c r="BA30" s="589">
        <f t="shared" si="21"/>
        <v>0</v>
      </c>
      <c r="BB30" s="37"/>
      <c r="BC30" s="587">
        <f t="shared" si="22"/>
        <v>0</v>
      </c>
      <c r="BD30" s="37">
        <f t="shared" si="23"/>
        <v>0</v>
      </c>
      <c r="BE30" s="979">
        <f t="shared" si="24"/>
        <v>0</v>
      </c>
      <c r="BF30" s="86">
        <f t="shared" si="25"/>
        <v>0</v>
      </c>
      <c r="BG30" s="953">
        <f>(BE30-BC30)*'E S'!$F$47</f>
        <v>0</v>
      </c>
      <c r="BH30" s="954"/>
      <c r="BI30" s="953">
        <f t="shared" si="26"/>
        <v>0</v>
      </c>
      <c r="BJ30" s="955"/>
      <c r="BK30" s="953">
        <f t="shared" si="27"/>
        <v>0</v>
      </c>
      <c r="BL30" s="955">
        <f t="shared" si="28"/>
        <v>0</v>
      </c>
      <c r="BM30" s="954"/>
      <c r="BN30" s="954"/>
      <c r="BO30" s="954"/>
      <c r="BP30" s="954">
        <v>1</v>
      </c>
      <c r="BQ30" s="956">
        <f t="shared" si="29"/>
        <v>0</v>
      </c>
      <c r="BR30" s="954">
        <v>2</v>
      </c>
      <c r="BS30" s="956">
        <f t="shared" si="30"/>
        <v>0</v>
      </c>
      <c r="BT30" s="954">
        <v>3</v>
      </c>
      <c r="BU30" s="956">
        <f t="shared" si="31"/>
        <v>0</v>
      </c>
      <c r="BV30" s="954">
        <v>4</v>
      </c>
      <c r="BW30" s="956">
        <f t="shared" si="32"/>
        <v>0</v>
      </c>
      <c r="BX30" s="954">
        <v>5</v>
      </c>
      <c r="BY30" s="956">
        <f t="shared" si="33"/>
        <v>0</v>
      </c>
      <c r="BZ30" s="954">
        <f t="shared" si="34"/>
        <v>0</v>
      </c>
      <c r="CA30" s="957">
        <f t="shared" si="35"/>
        <v>0</v>
      </c>
      <c r="CB30" s="957">
        <f t="shared" si="36"/>
        <v>0</v>
      </c>
      <c r="CC30" s="954">
        <f t="shared" si="37"/>
        <v>0</v>
      </c>
      <c r="CD30" s="958">
        <f t="shared" si="38"/>
        <v>0</v>
      </c>
      <c r="CE30" s="959">
        <f t="shared" si="39"/>
        <v>0</v>
      </c>
      <c r="CF30" s="960">
        <f t="shared" si="40"/>
        <v>0</v>
      </c>
      <c r="CG30" s="960">
        <f t="shared" si="41"/>
        <v>0</v>
      </c>
      <c r="CH30" s="960">
        <f t="shared" si="42"/>
        <v>0</v>
      </c>
      <c r="CI30" s="955">
        <f t="shared" si="43"/>
        <v>0</v>
      </c>
      <c r="CJ30" s="955">
        <f t="shared" si="44"/>
        <v>0</v>
      </c>
      <c r="CK30" s="954"/>
      <c r="CL30" s="964"/>
      <c r="CM30" s="965" t="s">
        <v>608</v>
      </c>
      <c r="CN30" s="966">
        <f t="shared" si="45"/>
        <v>0</v>
      </c>
      <c r="CO30" s="965" t="s">
        <v>609</v>
      </c>
      <c r="CP30" s="966">
        <f t="shared" si="46"/>
        <v>0</v>
      </c>
      <c r="CQ30" s="965" t="s">
        <v>610</v>
      </c>
      <c r="CR30" s="956">
        <f t="shared" si="47"/>
        <v>0</v>
      </c>
      <c r="CS30" s="964">
        <f t="shared" si="0"/>
        <v>0</v>
      </c>
      <c r="CT30" s="964"/>
      <c r="CU30" s="935"/>
      <c r="CV30" s="935"/>
      <c r="CW30" s="935"/>
      <c r="CX30" s="935"/>
      <c r="CY30" s="935"/>
      <c r="CZ30" s="935"/>
      <c r="DA30" s="935"/>
      <c r="DB30" s="935"/>
      <c r="DC30" s="935"/>
      <c r="DD30" s="935"/>
      <c r="DE30" s="935"/>
    </row>
    <row r="31" spans="1:109" s="3" customFormat="1" ht="12" hidden="1">
      <c r="A31" s="1">
        <v>19</v>
      </c>
      <c r="B31" s="80"/>
      <c r="E31" s="80"/>
      <c r="G31" s="80"/>
      <c r="I31" s="83"/>
      <c r="J31" s="35" t="str">
        <f t="shared" si="1"/>
        <v>.</v>
      </c>
      <c r="K31" s="83"/>
      <c r="L31" s="85"/>
      <c r="M31" s="80"/>
      <c r="N31" s="66"/>
      <c r="O31" s="593">
        <f t="shared" si="2"/>
        <v>0</v>
      </c>
      <c r="P31" s="66"/>
      <c r="Q31" s="80"/>
      <c r="R31" s="86">
        <f t="shared" si="3"/>
        <v>0</v>
      </c>
      <c r="S31" s="87"/>
      <c r="T31" s="38">
        <f t="shared" si="4"/>
        <v>0</v>
      </c>
      <c r="U31" s="969">
        <f t="shared" si="5"/>
        <v>0</v>
      </c>
      <c r="V31" s="38"/>
      <c r="W31" s="92"/>
      <c r="X31" s="93">
        <f t="shared" si="6"/>
        <v>0</v>
      </c>
      <c r="Y31" s="94"/>
      <c r="Z31" s="66"/>
      <c r="AA31" s="95"/>
      <c r="AC31" s="586">
        <f t="shared" si="7"/>
        <v>0</v>
      </c>
      <c r="AD31" s="37">
        <f t="shared" si="8"/>
        <v>0</v>
      </c>
      <c r="AE31" s="594"/>
      <c r="AF31" s="925"/>
      <c r="AG31" s="967">
        <f t="shared" si="9"/>
        <v>0</v>
      </c>
      <c r="AH31" s="968"/>
      <c r="AI31" s="969">
        <f t="shared" si="10"/>
        <v>0</v>
      </c>
      <c r="AJ31" s="595">
        <f t="shared" si="11"/>
        <v>0</v>
      </c>
      <c r="AK31" s="588">
        <f t="shared" si="12"/>
        <v>0</v>
      </c>
      <c r="AL31" s="595">
        <f t="shared" si="13"/>
        <v>0</v>
      </c>
      <c r="AM31" s="96"/>
      <c r="AN31" s="37"/>
      <c r="AO31" s="588">
        <f t="shared" si="14"/>
        <v>0</v>
      </c>
      <c r="AP31" s="37">
        <f t="shared" si="15"/>
        <v>0</v>
      </c>
      <c r="AQ31" s="883"/>
      <c r="AR31" s="37">
        <f t="shared" si="16"/>
        <v>0</v>
      </c>
      <c r="AS31" s="96"/>
      <c r="AT31" s="35" t="str">
        <f t="shared" si="17"/>
        <v>.</v>
      </c>
      <c r="AU31" s="96"/>
      <c r="AV31" s="37"/>
      <c r="AW31" s="588">
        <f t="shared" si="18"/>
        <v>0</v>
      </c>
      <c r="AX31" s="37">
        <f t="shared" si="19"/>
        <v>0</v>
      </c>
      <c r="AY31" s="588">
        <f>IF(PF!V25&gt;0,(CF31),0)</f>
        <v>0</v>
      </c>
      <c r="AZ31" s="37">
        <f t="shared" si="20"/>
        <v>0</v>
      </c>
      <c r="BA31" s="589">
        <f t="shared" si="21"/>
        <v>0</v>
      </c>
      <c r="BB31" s="37"/>
      <c r="BC31" s="587">
        <f t="shared" si="22"/>
        <v>0</v>
      </c>
      <c r="BD31" s="37">
        <f t="shared" si="23"/>
        <v>0</v>
      </c>
      <c r="BE31" s="979">
        <f t="shared" si="24"/>
        <v>0</v>
      </c>
      <c r="BF31" s="86">
        <f t="shared" si="25"/>
        <v>0</v>
      </c>
      <c r="BG31" s="953">
        <f>(BE31-BC31)*'E S'!$F$47</f>
        <v>0</v>
      </c>
      <c r="BH31" s="954"/>
      <c r="BI31" s="953">
        <f t="shared" si="26"/>
        <v>0</v>
      </c>
      <c r="BJ31" s="955"/>
      <c r="BK31" s="953">
        <f t="shared" si="27"/>
        <v>0</v>
      </c>
      <c r="BL31" s="955">
        <f t="shared" si="28"/>
        <v>0</v>
      </c>
      <c r="BM31" s="954"/>
      <c r="BN31" s="954"/>
      <c r="BO31" s="954"/>
      <c r="BP31" s="954">
        <v>1</v>
      </c>
      <c r="BQ31" s="956">
        <f t="shared" si="29"/>
        <v>0</v>
      </c>
      <c r="BR31" s="954">
        <v>2</v>
      </c>
      <c r="BS31" s="956">
        <f t="shared" si="30"/>
        <v>0</v>
      </c>
      <c r="BT31" s="954">
        <v>3</v>
      </c>
      <c r="BU31" s="956">
        <f t="shared" si="31"/>
        <v>0</v>
      </c>
      <c r="BV31" s="954">
        <v>4</v>
      </c>
      <c r="BW31" s="956">
        <f t="shared" si="32"/>
        <v>0</v>
      </c>
      <c r="BX31" s="954">
        <v>5</v>
      </c>
      <c r="BY31" s="956">
        <f t="shared" si="33"/>
        <v>0</v>
      </c>
      <c r="BZ31" s="954">
        <f t="shared" si="34"/>
        <v>0</v>
      </c>
      <c r="CA31" s="957">
        <f t="shared" si="35"/>
        <v>0</v>
      </c>
      <c r="CB31" s="957">
        <f t="shared" si="36"/>
        <v>0</v>
      </c>
      <c r="CC31" s="954">
        <f t="shared" si="37"/>
        <v>0</v>
      </c>
      <c r="CD31" s="958">
        <f t="shared" si="38"/>
        <v>0</v>
      </c>
      <c r="CE31" s="959">
        <f t="shared" si="39"/>
        <v>0</v>
      </c>
      <c r="CF31" s="960">
        <f t="shared" si="40"/>
        <v>0</v>
      </c>
      <c r="CG31" s="960">
        <f t="shared" si="41"/>
        <v>0</v>
      </c>
      <c r="CH31" s="960">
        <f t="shared" si="42"/>
        <v>0</v>
      </c>
      <c r="CI31" s="955">
        <f t="shared" si="43"/>
        <v>0</v>
      </c>
      <c r="CJ31" s="955">
        <f t="shared" si="44"/>
        <v>0</v>
      </c>
      <c r="CK31" s="954"/>
      <c r="CL31" s="964"/>
      <c r="CM31" s="965" t="s">
        <v>608</v>
      </c>
      <c r="CN31" s="966">
        <f t="shared" si="45"/>
        <v>0</v>
      </c>
      <c r="CO31" s="965" t="s">
        <v>609</v>
      </c>
      <c r="CP31" s="966">
        <f t="shared" si="46"/>
        <v>0</v>
      </c>
      <c r="CQ31" s="965" t="s">
        <v>610</v>
      </c>
      <c r="CR31" s="956">
        <f t="shared" si="47"/>
        <v>0</v>
      </c>
      <c r="CS31" s="964">
        <f t="shared" si="0"/>
        <v>0</v>
      </c>
      <c r="CT31" s="964"/>
      <c r="CU31" s="935"/>
      <c r="CV31" s="935"/>
      <c r="CW31" s="935"/>
      <c r="CX31" s="935"/>
      <c r="CY31" s="935"/>
      <c r="CZ31" s="935"/>
      <c r="DA31" s="935"/>
      <c r="DB31" s="935"/>
      <c r="DC31" s="935"/>
      <c r="DD31" s="935"/>
      <c r="DE31" s="935"/>
    </row>
    <row r="32" spans="1:109" s="3" customFormat="1" ht="12" hidden="1">
      <c r="A32" s="1">
        <v>20</v>
      </c>
      <c r="B32" s="80"/>
      <c r="E32" s="80"/>
      <c r="G32" s="80"/>
      <c r="I32" s="83"/>
      <c r="J32" s="35" t="str">
        <f t="shared" si="1"/>
        <v>.</v>
      </c>
      <c r="K32" s="83"/>
      <c r="L32" s="85"/>
      <c r="M32" s="80"/>
      <c r="N32" s="66"/>
      <c r="O32" s="593">
        <f t="shared" si="2"/>
        <v>0</v>
      </c>
      <c r="P32" s="66"/>
      <c r="Q32" s="80"/>
      <c r="R32" s="86">
        <f t="shared" si="3"/>
        <v>0</v>
      </c>
      <c r="S32" s="87"/>
      <c r="T32" s="38">
        <f t="shared" si="4"/>
        <v>0</v>
      </c>
      <c r="U32" s="969">
        <f t="shared" si="5"/>
        <v>0</v>
      </c>
      <c r="V32" s="38"/>
      <c r="W32" s="92"/>
      <c r="X32" s="93">
        <f t="shared" si="6"/>
        <v>0</v>
      </c>
      <c r="Y32" s="94"/>
      <c r="Z32" s="66"/>
      <c r="AA32" s="95"/>
      <c r="AC32" s="586">
        <f t="shared" si="7"/>
        <v>0</v>
      </c>
      <c r="AD32" s="37">
        <f t="shared" si="8"/>
        <v>0</v>
      </c>
      <c r="AE32" s="594"/>
      <c r="AF32" s="925"/>
      <c r="AG32" s="967">
        <f t="shared" si="9"/>
        <v>0</v>
      </c>
      <c r="AH32" s="968"/>
      <c r="AI32" s="969">
        <f t="shared" si="10"/>
        <v>0</v>
      </c>
      <c r="AJ32" s="595">
        <f t="shared" si="11"/>
        <v>0</v>
      </c>
      <c r="AK32" s="588">
        <f t="shared" si="12"/>
        <v>0</v>
      </c>
      <c r="AL32" s="595">
        <f t="shared" si="13"/>
        <v>0</v>
      </c>
      <c r="AM32" s="96"/>
      <c r="AN32" s="37"/>
      <c r="AO32" s="588">
        <f t="shared" si="14"/>
        <v>0</v>
      </c>
      <c r="AP32" s="37">
        <f t="shared" si="15"/>
        <v>0</v>
      </c>
      <c r="AQ32" s="883"/>
      <c r="AR32" s="37">
        <f t="shared" si="16"/>
        <v>0</v>
      </c>
      <c r="AS32" s="96"/>
      <c r="AT32" s="35" t="str">
        <f t="shared" si="17"/>
        <v>.</v>
      </c>
      <c r="AU32" s="96"/>
      <c r="AV32" s="37"/>
      <c r="AW32" s="588">
        <f t="shared" si="18"/>
        <v>0</v>
      </c>
      <c r="AX32" s="37">
        <f t="shared" si="19"/>
        <v>0</v>
      </c>
      <c r="AY32" s="588">
        <f>IF(PF!V26&gt;0,(CF32),0)</f>
        <v>0</v>
      </c>
      <c r="AZ32" s="37">
        <f t="shared" si="20"/>
        <v>0</v>
      </c>
      <c r="BA32" s="589">
        <f t="shared" si="21"/>
        <v>0</v>
      </c>
      <c r="BB32" s="37"/>
      <c r="BC32" s="587">
        <f t="shared" si="22"/>
        <v>0</v>
      </c>
      <c r="BD32" s="37">
        <f t="shared" si="23"/>
        <v>0</v>
      </c>
      <c r="BE32" s="979">
        <f t="shared" si="24"/>
        <v>0</v>
      </c>
      <c r="BF32" s="86">
        <f t="shared" si="25"/>
        <v>0</v>
      </c>
      <c r="BG32" s="953">
        <f>(BE32-BC32)*'E S'!$F$47</f>
        <v>0</v>
      </c>
      <c r="BH32" s="954"/>
      <c r="BI32" s="953">
        <f t="shared" si="26"/>
        <v>0</v>
      </c>
      <c r="BJ32" s="955"/>
      <c r="BK32" s="953">
        <f t="shared" si="27"/>
        <v>0</v>
      </c>
      <c r="BL32" s="955">
        <f t="shared" si="28"/>
        <v>0</v>
      </c>
      <c r="BM32" s="954"/>
      <c r="BN32" s="954"/>
      <c r="BO32" s="954"/>
      <c r="BP32" s="954">
        <v>1</v>
      </c>
      <c r="BQ32" s="956">
        <f t="shared" si="29"/>
        <v>0</v>
      </c>
      <c r="BR32" s="954">
        <v>2</v>
      </c>
      <c r="BS32" s="956">
        <f t="shared" si="30"/>
        <v>0</v>
      </c>
      <c r="BT32" s="954">
        <v>3</v>
      </c>
      <c r="BU32" s="956">
        <f t="shared" si="31"/>
        <v>0</v>
      </c>
      <c r="BV32" s="954">
        <v>4</v>
      </c>
      <c r="BW32" s="956">
        <f t="shared" si="32"/>
        <v>0</v>
      </c>
      <c r="BX32" s="954">
        <v>5</v>
      </c>
      <c r="BY32" s="956">
        <f t="shared" si="33"/>
        <v>0</v>
      </c>
      <c r="BZ32" s="954">
        <f t="shared" si="34"/>
        <v>0</v>
      </c>
      <c r="CA32" s="957">
        <f t="shared" si="35"/>
        <v>0</v>
      </c>
      <c r="CB32" s="957">
        <f t="shared" si="36"/>
        <v>0</v>
      </c>
      <c r="CC32" s="954">
        <f t="shared" si="37"/>
        <v>0</v>
      </c>
      <c r="CD32" s="958">
        <f t="shared" si="38"/>
        <v>0</v>
      </c>
      <c r="CE32" s="959">
        <f t="shared" si="39"/>
        <v>0</v>
      </c>
      <c r="CF32" s="960">
        <f t="shared" si="40"/>
        <v>0</v>
      </c>
      <c r="CG32" s="960">
        <f t="shared" si="41"/>
        <v>0</v>
      </c>
      <c r="CH32" s="960">
        <f t="shared" si="42"/>
        <v>0</v>
      </c>
      <c r="CI32" s="955">
        <f t="shared" si="43"/>
        <v>0</v>
      </c>
      <c r="CJ32" s="955">
        <f t="shared" si="44"/>
        <v>0</v>
      </c>
      <c r="CK32" s="954"/>
      <c r="CL32" s="964"/>
      <c r="CM32" s="965" t="s">
        <v>608</v>
      </c>
      <c r="CN32" s="966">
        <f t="shared" si="45"/>
        <v>0</v>
      </c>
      <c r="CO32" s="965" t="s">
        <v>609</v>
      </c>
      <c r="CP32" s="966">
        <f t="shared" si="46"/>
        <v>0</v>
      </c>
      <c r="CQ32" s="965" t="s">
        <v>610</v>
      </c>
      <c r="CR32" s="956">
        <f t="shared" si="47"/>
        <v>0</v>
      </c>
      <c r="CS32" s="964">
        <f t="shared" si="0"/>
        <v>0</v>
      </c>
      <c r="CT32" s="964"/>
      <c r="CU32" s="935"/>
      <c r="CV32" s="935"/>
      <c r="CW32" s="935"/>
      <c r="CX32" s="935"/>
      <c r="CY32" s="935"/>
      <c r="CZ32" s="935"/>
      <c r="DA32" s="935"/>
      <c r="DB32" s="935"/>
      <c r="DC32" s="935"/>
      <c r="DD32" s="935"/>
      <c r="DE32" s="935"/>
    </row>
    <row r="33" spans="1:109" s="3" customFormat="1" ht="12" hidden="1">
      <c r="A33" s="1">
        <v>21</v>
      </c>
      <c r="B33" s="80"/>
      <c r="E33" s="80"/>
      <c r="G33" s="80"/>
      <c r="I33" s="83"/>
      <c r="J33" s="35" t="str">
        <f t="shared" si="1"/>
        <v>.</v>
      </c>
      <c r="K33" s="83"/>
      <c r="L33" s="85"/>
      <c r="M33" s="80"/>
      <c r="N33" s="66"/>
      <c r="O33" s="593">
        <f t="shared" si="2"/>
        <v>0</v>
      </c>
      <c r="P33" s="66"/>
      <c r="Q33" s="80"/>
      <c r="R33" s="86">
        <f t="shared" si="3"/>
        <v>0</v>
      </c>
      <c r="S33" s="87"/>
      <c r="T33" s="38">
        <f t="shared" si="4"/>
        <v>0</v>
      </c>
      <c r="U33" s="969">
        <f t="shared" si="5"/>
        <v>0</v>
      </c>
      <c r="V33" s="38"/>
      <c r="W33" s="92"/>
      <c r="X33" s="93">
        <f t="shared" si="6"/>
        <v>0</v>
      </c>
      <c r="Y33" s="94"/>
      <c r="Z33" s="66"/>
      <c r="AA33" s="95"/>
      <c r="AC33" s="586">
        <f t="shared" si="7"/>
        <v>0</v>
      </c>
      <c r="AD33" s="37">
        <f t="shared" si="8"/>
        <v>0</v>
      </c>
      <c r="AE33" s="594"/>
      <c r="AF33" s="925"/>
      <c r="AG33" s="967">
        <f t="shared" si="9"/>
        <v>0</v>
      </c>
      <c r="AH33" s="968"/>
      <c r="AI33" s="969">
        <f t="shared" si="10"/>
        <v>0</v>
      </c>
      <c r="AJ33" s="595">
        <f t="shared" si="11"/>
        <v>0</v>
      </c>
      <c r="AK33" s="588">
        <f t="shared" si="12"/>
        <v>0</v>
      </c>
      <c r="AL33" s="595">
        <f t="shared" si="13"/>
        <v>0</v>
      </c>
      <c r="AM33" s="96"/>
      <c r="AN33" s="37"/>
      <c r="AO33" s="588">
        <f t="shared" si="14"/>
        <v>0</v>
      </c>
      <c r="AP33" s="37">
        <f t="shared" si="15"/>
        <v>0</v>
      </c>
      <c r="AQ33" s="883"/>
      <c r="AR33" s="37">
        <f t="shared" si="16"/>
        <v>0</v>
      </c>
      <c r="AS33" s="96"/>
      <c r="AT33" s="35" t="str">
        <f t="shared" si="17"/>
        <v>.</v>
      </c>
      <c r="AU33" s="96"/>
      <c r="AV33" s="37"/>
      <c r="AW33" s="588">
        <f t="shared" si="18"/>
        <v>0</v>
      </c>
      <c r="AX33" s="37">
        <f t="shared" si="19"/>
        <v>0</v>
      </c>
      <c r="AY33" s="588">
        <f>IF(PF!V27&gt;0,(CF33),0)</f>
        <v>0</v>
      </c>
      <c r="AZ33" s="37">
        <f t="shared" si="20"/>
        <v>0</v>
      </c>
      <c r="BA33" s="589">
        <f t="shared" si="21"/>
        <v>0</v>
      </c>
      <c r="BB33" s="37"/>
      <c r="BC33" s="587">
        <f t="shared" si="22"/>
        <v>0</v>
      </c>
      <c r="BD33" s="37">
        <f t="shared" si="23"/>
        <v>0</v>
      </c>
      <c r="BE33" s="979">
        <f t="shared" si="24"/>
        <v>0</v>
      </c>
      <c r="BF33" s="86">
        <f t="shared" si="25"/>
        <v>0</v>
      </c>
      <c r="BG33" s="953">
        <f>(BE33-BC33)*'E S'!$F$47</f>
        <v>0</v>
      </c>
      <c r="BH33" s="954"/>
      <c r="BI33" s="953">
        <f t="shared" si="26"/>
        <v>0</v>
      </c>
      <c r="BJ33" s="955"/>
      <c r="BK33" s="953">
        <f t="shared" si="27"/>
        <v>0</v>
      </c>
      <c r="BL33" s="955">
        <f t="shared" si="28"/>
        <v>0</v>
      </c>
      <c r="BM33" s="954"/>
      <c r="BN33" s="954"/>
      <c r="BO33" s="954"/>
      <c r="BP33" s="954">
        <v>1</v>
      </c>
      <c r="BQ33" s="956">
        <f t="shared" si="29"/>
        <v>0</v>
      </c>
      <c r="BR33" s="954">
        <v>2</v>
      </c>
      <c r="BS33" s="956">
        <f t="shared" si="30"/>
        <v>0</v>
      </c>
      <c r="BT33" s="954">
        <v>3</v>
      </c>
      <c r="BU33" s="956">
        <f t="shared" si="31"/>
        <v>0</v>
      </c>
      <c r="BV33" s="954">
        <v>4</v>
      </c>
      <c r="BW33" s="956">
        <f t="shared" si="32"/>
        <v>0</v>
      </c>
      <c r="BX33" s="954">
        <v>5</v>
      </c>
      <c r="BY33" s="956">
        <f t="shared" si="33"/>
        <v>0</v>
      </c>
      <c r="BZ33" s="954">
        <f t="shared" si="34"/>
        <v>0</v>
      </c>
      <c r="CA33" s="957">
        <f t="shared" si="35"/>
        <v>0</v>
      </c>
      <c r="CB33" s="957">
        <f t="shared" si="36"/>
        <v>0</v>
      </c>
      <c r="CC33" s="954">
        <f t="shared" si="37"/>
        <v>0</v>
      </c>
      <c r="CD33" s="958">
        <f t="shared" si="38"/>
        <v>0</v>
      </c>
      <c r="CE33" s="959">
        <f t="shared" si="39"/>
        <v>0</v>
      </c>
      <c r="CF33" s="960">
        <f t="shared" si="40"/>
        <v>0</v>
      </c>
      <c r="CG33" s="960">
        <f t="shared" si="41"/>
        <v>0</v>
      </c>
      <c r="CH33" s="960">
        <f t="shared" si="42"/>
        <v>0</v>
      </c>
      <c r="CI33" s="955">
        <f t="shared" si="43"/>
        <v>0</v>
      </c>
      <c r="CJ33" s="955">
        <f t="shared" si="44"/>
        <v>0</v>
      </c>
      <c r="CK33" s="954"/>
      <c r="CL33" s="964"/>
      <c r="CM33" s="965" t="s">
        <v>608</v>
      </c>
      <c r="CN33" s="966">
        <f t="shared" si="45"/>
        <v>0</v>
      </c>
      <c r="CO33" s="965" t="s">
        <v>609</v>
      </c>
      <c r="CP33" s="966">
        <f t="shared" si="46"/>
        <v>0</v>
      </c>
      <c r="CQ33" s="965" t="s">
        <v>610</v>
      </c>
      <c r="CR33" s="956">
        <f t="shared" si="47"/>
        <v>0</v>
      </c>
      <c r="CS33" s="964">
        <f t="shared" si="0"/>
        <v>0</v>
      </c>
      <c r="CT33" s="964"/>
      <c r="CU33" s="935"/>
      <c r="CV33" s="935"/>
      <c r="CW33" s="935"/>
      <c r="CX33" s="935"/>
      <c r="CY33" s="935"/>
      <c r="CZ33" s="935"/>
      <c r="DA33" s="935"/>
      <c r="DB33" s="935"/>
      <c r="DC33" s="935"/>
      <c r="DD33" s="935"/>
      <c r="DE33" s="935"/>
    </row>
    <row r="34" spans="1:109" s="3" customFormat="1" ht="12" hidden="1">
      <c r="A34" s="1">
        <v>22</v>
      </c>
      <c r="B34" s="80"/>
      <c r="E34" s="80"/>
      <c r="G34" s="80"/>
      <c r="I34" s="82"/>
      <c r="J34" s="35" t="str">
        <f t="shared" si="1"/>
        <v>.</v>
      </c>
      <c r="K34" s="83"/>
      <c r="L34" s="85"/>
      <c r="M34" s="80"/>
      <c r="N34" s="66"/>
      <c r="O34" s="593">
        <f t="shared" si="2"/>
        <v>0</v>
      </c>
      <c r="P34" s="66"/>
      <c r="Q34" s="89"/>
      <c r="R34" s="86">
        <f t="shared" si="3"/>
        <v>0</v>
      </c>
      <c r="S34" s="87"/>
      <c r="T34" s="38">
        <f t="shared" si="4"/>
        <v>0</v>
      </c>
      <c r="U34" s="969">
        <f t="shared" si="5"/>
        <v>0</v>
      </c>
      <c r="V34" s="38"/>
      <c r="W34" s="92"/>
      <c r="X34" s="93">
        <f t="shared" si="6"/>
        <v>0</v>
      </c>
      <c r="Y34" s="94"/>
      <c r="Z34" s="66"/>
      <c r="AA34" s="95"/>
      <c r="AC34" s="586">
        <f t="shared" si="7"/>
        <v>0</v>
      </c>
      <c r="AD34" s="37">
        <f t="shared" si="8"/>
        <v>0</v>
      </c>
      <c r="AE34" s="594"/>
      <c r="AF34" s="925"/>
      <c r="AG34" s="967">
        <f t="shared" si="9"/>
        <v>0</v>
      </c>
      <c r="AH34" s="968"/>
      <c r="AI34" s="969">
        <f t="shared" si="10"/>
        <v>0</v>
      </c>
      <c r="AJ34" s="595">
        <f t="shared" si="11"/>
        <v>0</v>
      </c>
      <c r="AK34" s="588">
        <f t="shared" si="12"/>
        <v>0</v>
      </c>
      <c r="AL34" s="595">
        <f t="shared" si="13"/>
        <v>0</v>
      </c>
      <c r="AM34" s="96"/>
      <c r="AN34" s="37"/>
      <c r="AO34" s="588">
        <f t="shared" si="14"/>
        <v>0</v>
      </c>
      <c r="AP34" s="37">
        <f t="shared" si="15"/>
        <v>0</v>
      </c>
      <c r="AQ34" s="883"/>
      <c r="AR34" s="37">
        <f t="shared" si="16"/>
        <v>0</v>
      </c>
      <c r="AS34" s="96"/>
      <c r="AT34" s="35" t="str">
        <f t="shared" si="17"/>
        <v>.</v>
      </c>
      <c r="AU34" s="96"/>
      <c r="AV34" s="37"/>
      <c r="AW34" s="588">
        <f t="shared" si="18"/>
        <v>0</v>
      </c>
      <c r="AX34" s="37">
        <f t="shared" si="19"/>
        <v>0</v>
      </c>
      <c r="AY34" s="588">
        <f>IF(PF!V28&gt;0,(CF34),0)</f>
        <v>0</v>
      </c>
      <c r="AZ34" s="37">
        <f t="shared" si="20"/>
        <v>0</v>
      </c>
      <c r="BA34" s="589">
        <f t="shared" si="21"/>
        <v>0</v>
      </c>
      <c r="BB34" s="37"/>
      <c r="BC34" s="587">
        <f t="shared" si="22"/>
        <v>0</v>
      </c>
      <c r="BD34" s="37">
        <f t="shared" si="23"/>
        <v>0</v>
      </c>
      <c r="BE34" s="979">
        <f t="shared" si="24"/>
        <v>0</v>
      </c>
      <c r="BF34" s="86">
        <f t="shared" si="25"/>
        <v>0</v>
      </c>
      <c r="BG34" s="953">
        <f>(BE34-BC34)*'E S'!$F$47</f>
        <v>0</v>
      </c>
      <c r="BH34" s="954"/>
      <c r="BI34" s="953">
        <f t="shared" si="26"/>
        <v>0</v>
      </c>
      <c r="BJ34" s="955"/>
      <c r="BK34" s="953">
        <f t="shared" si="27"/>
        <v>0</v>
      </c>
      <c r="BL34" s="955">
        <f t="shared" si="28"/>
        <v>0</v>
      </c>
      <c r="BM34" s="954"/>
      <c r="BN34" s="954"/>
      <c r="BO34" s="954"/>
      <c r="BP34" s="954">
        <v>1</v>
      </c>
      <c r="BQ34" s="956">
        <f t="shared" si="29"/>
        <v>0</v>
      </c>
      <c r="BR34" s="954">
        <v>2</v>
      </c>
      <c r="BS34" s="956">
        <f t="shared" si="30"/>
        <v>0</v>
      </c>
      <c r="BT34" s="954">
        <v>3</v>
      </c>
      <c r="BU34" s="956">
        <f t="shared" si="31"/>
        <v>0</v>
      </c>
      <c r="BV34" s="954">
        <v>4</v>
      </c>
      <c r="BW34" s="956">
        <f t="shared" si="32"/>
        <v>0</v>
      </c>
      <c r="BX34" s="954">
        <v>5</v>
      </c>
      <c r="BY34" s="956">
        <f t="shared" si="33"/>
        <v>0</v>
      </c>
      <c r="BZ34" s="954">
        <f t="shared" si="34"/>
        <v>0</v>
      </c>
      <c r="CA34" s="957">
        <f t="shared" si="35"/>
        <v>0</v>
      </c>
      <c r="CB34" s="957">
        <f t="shared" si="36"/>
        <v>0</v>
      </c>
      <c r="CC34" s="954">
        <f t="shared" si="37"/>
        <v>0</v>
      </c>
      <c r="CD34" s="958">
        <f t="shared" si="38"/>
        <v>0</v>
      </c>
      <c r="CE34" s="959">
        <f t="shared" si="39"/>
        <v>0</v>
      </c>
      <c r="CF34" s="960">
        <f t="shared" si="40"/>
        <v>0</v>
      </c>
      <c r="CG34" s="960">
        <f t="shared" si="41"/>
        <v>0</v>
      </c>
      <c r="CH34" s="960">
        <f t="shared" si="42"/>
        <v>0</v>
      </c>
      <c r="CI34" s="955">
        <f t="shared" si="43"/>
        <v>0</v>
      </c>
      <c r="CJ34" s="955">
        <f t="shared" si="44"/>
        <v>0</v>
      </c>
      <c r="CK34" s="954"/>
      <c r="CL34" s="964"/>
      <c r="CM34" s="965" t="s">
        <v>608</v>
      </c>
      <c r="CN34" s="966">
        <f t="shared" si="45"/>
        <v>0</v>
      </c>
      <c r="CO34" s="965" t="s">
        <v>609</v>
      </c>
      <c r="CP34" s="966">
        <f t="shared" si="46"/>
        <v>0</v>
      </c>
      <c r="CQ34" s="965" t="s">
        <v>610</v>
      </c>
      <c r="CR34" s="956">
        <f t="shared" si="47"/>
        <v>0</v>
      </c>
      <c r="CS34" s="964">
        <f t="shared" si="0"/>
        <v>0</v>
      </c>
      <c r="CT34" s="964"/>
      <c r="CU34" s="935"/>
      <c r="CV34" s="935"/>
      <c r="CW34" s="935"/>
      <c r="CX34" s="935"/>
      <c r="CY34" s="935"/>
      <c r="CZ34" s="935"/>
      <c r="DA34" s="935"/>
      <c r="DB34" s="935"/>
      <c r="DC34" s="935"/>
      <c r="DD34" s="935"/>
      <c r="DE34" s="935"/>
    </row>
    <row r="35" spans="1:109" s="3" customFormat="1" ht="12" hidden="1">
      <c r="A35" s="1">
        <v>23</v>
      </c>
      <c r="B35" s="80"/>
      <c r="E35" s="80"/>
      <c r="G35" s="80"/>
      <c r="I35" s="82"/>
      <c r="J35" s="35" t="str">
        <f t="shared" si="1"/>
        <v>.</v>
      </c>
      <c r="K35" s="83"/>
      <c r="L35" s="85"/>
      <c r="M35" s="80"/>
      <c r="N35" s="66"/>
      <c r="O35" s="593">
        <f t="shared" si="2"/>
        <v>0</v>
      </c>
      <c r="P35" s="66"/>
      <c r="Q35" s="80"/>
      <c r="R35" s="86">
        <f t="shared" si="3"/>
        <v>0</v>
      </c>
      <c r="S35" s="87"/>
      <c r="T35" s="38">
        <f t="shared" si="4"/>
        <v>0</v>
      </c>
      <c r="U35" s="969">
        <f t="shared" si="5"/>
        <v>0</v>
      </c>
      <c r="V35" s="38"/>
      <c r="W35" s="92"/>
      <c r="X35" s="93">
        <f t="shared" si="6"/>
        <v>0</v>
      </c>
      <c r="Y35" s="94"/>
      <c r="Z35" s="66"/>
      <c r="AA35" s="95"/>
      <c r="AC35" s="586">
        <f t="shared" si="7"/>
        <v>0</v>
      </c>
      <c r="AD35" s="37">
        <f t="shared" si="8"/>
        <v>0</v>
      </c>
      <c r="AE35" s="594"/>
      <c r="AF35" s="925"/>
      <c r="AG35" s="967">
        <f t="shared" si="9"/>
        <v>0</v>
      </c>
      <c r="AH35" s="968"/>
      <c r="AI35" s="969">
        <f t="shared" si="10"/>
        <v>0</v>
      </c>
      <c r="AJ35" s="595">
        <f t="shared" si="11"/>
        <v>0</v>
      </c>
      <c r="AK35" s="588">
        <f t="shared" si="12"/>
        <v>0</v>
      </c>
      <c r="AL35" s="595">
        <f t="shared" si="13"/>
        <v>0</v>
      </c>
      <c r="AM35" s="96"/>
      <c r="AN35" s="37"/>
      <c r="AO35" s="588">
        <f t="shared" si="14"/>
        <v>0</v>
      </c>
      <c r="AP35" s="37">
        <f t="shared" si="15"/>
        <v>0</v>
      </c>
      <c r="AQ35" s="883"/>
      <c r="AR35" s="37">
        <f t="shared" si="16"/>
        <v>0</v>
      </c>
      <c r="AS35" s="96"/>
      <c r="AT35" s="35" t="str">
        <f t="shared" si="17"/>
        <v>.</v>
      </c>
      <c r="AU35" s="96"/>
      <c r="AV35" s="37"/>
      <c r="AW35" s="588">
        <f t="shared" si="18"/>
        <v>0</v>
      </c>
      <c r="AX35" s="37">
        <f t="shared" si="19"/>
        <v>0</v>
      </c>
      <c r="AY35" s="588">
        <f>IF(PF!V29&gt;0,(CF35),0)</f>
        <v>0</v>
      </c>
      <c r="AZ35" s="37">
        <f t="shared" si="20"/>
        <v>0</v>
      </c>
      <c r="BA35" s="589">
        <f t="shared" si="21"/>
        <v>0</v>
      </c>
      <c r="BB35" s="37"/>
      <c r="BC35" s="587">
        <f t="shared" si="22"/>
        <v>0</v>
      </c>
      <c r="BD35" s="37">
        <f t="shared" si="23"/>
        <v>0</v>
      </c>
      <c r="BE35" s="979">
        <f t="shared" si="24"/>
        <v>0</v>
      </c>
      <c r="BF35" s="86">
        <f t="shared" si="25"/>
        <v>0</v>
      </c>
      <c r="BG35" s="953">
        <f>(BE35-BC35)*'E S'!$F$47</f>
        <v>0</v>
      </c>
      <c r="BH35" s="954"/>
      <c r="BI35" s="953">
        <f t="shared" si="26"/>
        <v>0</v>
      </c>
      <c r="BJ35" s="955"/>
      <c r="BK35" s="953">
        <f t="shared" si="27"/>
        <v>0</v>
      </c>
      <c r="BL35" s="955">
        <f t="shared" si="28"/>
        <v>0</v>
      </c>
      <c r="BM35" s="954"/>
      <c r="BN35" s="954"/>
      <c r="BO35" s="954"/>
      <c r="BP35" s="954">
        <v>1</v>
      </c>
      <c r="BQ35" s="956">
        <f t="shared" si="29"/>
        <v>0</v>
      </c>
      <c r="BR35" s="954">
        <v>2</v>
      </c>
      <c r="BS35" s="956">
        <f t="shared" si="30"/>
        <v>0</v>
      </c>
      <c r="BT35" s="954">
        <v>3</v>
      </c>
      <c r="BU35" s="956">
        <f t="shared" si="31"/>
        <v>0</v>
      </c>
      <c r="BV35" s="954">
        <v>4</v>
      </c>
      <c r="BW35" s="956">
        <f t="shared" si="32"/>
        <v>0</v>
      </c>
      <c r="BX35" s="954">
        <v>5</v>
      </c>
      <c r="BY35" s="956">
        <f t="shared" si="33"/>
        <v>0</v>
      </c>
      <c r="BZ35" s="954">
        <f t="shared" si="34"/>
        <v>0</v>
      </c>
      <c r="CA35" s="957">
        <f t="shared" si="35"/>
        <v>0</v>
      </c>
      <c r="CB35" s="957">
        <f t="shared" si="36"/>
        <v>0</v>
      </c>
      <c r="CC35" s="954">
        <f t="shared" si="37"/>
        <v>0</v>
      </c>
      <c r="CD35" s="958">
        <f t="shared" si="38"/>
        <v>0</v>
      </c>
      <c r="CE35" s="959">
        <f t="shared" si="39"/>
        <v>0</v>
      </c>
      <c r="CF35" s="960">
        <f t="shared" si="40"/>
        <v>0</v>
      </c>
      <c r="CG35" s="960">
        <f t="shared" si="41"/>
        <v>0</v>
      </c>
      <c r="CH35" s="960">
        <f t="shared" si="42"/>
        <v>0</v>
      </c>
      <c r="CI35" s="955">
        <f t="shared" si="43"/>
        <v>0</v>
      </c>
      <c r="CJ35" s="955">
        <f t="shared" si="44"/>
        <v>0</v>
      </c>
      <c r="CK35" s="954"/>
      <c r="CL35" s="964"/>
      <c r="CM35" s="965" t="s">
        <v>608</v>
      </c>
      <c r="CN35" s="966">
        <f t="shared" si="45"/>
        <v>0</v>
      </c>
      <c r="CO35" s="965" t="s">
        <v>609</v>
      </c>
      <c r="CP35" s="966">
        <f t="shared" si="46"/>
        <v>0</v>
      </c>
      <c r="CQ35" s="965" t="s">
        <v>610</v>
      </c>
      <c r="CR35" s="956">
        <f t="shared" si="47"/>
        <v>0</v>
      </c>
      <c r="CS35" s="964">
        <f t="shared" si="0"/>
        <v>0</v>
      </c>
      <c r="CT35" s="964"/>
      <c r="CU35" s="935"/>
      <c r="CV35" s="935"/>
      <c r="CW35" s="935"/>
      <c r="CX35" s="935"/>
      <c r="CY35" s="935"/>
      <c r="CZ35" s="935"/>
      <c r="DA35" s="935"/>
      <c r="DB35" s="935"/>
      <c r="DC35" s="935"/>
      <c r="DD35" s="935"/>
      <c r="DE35" s="935"/>
    </row>
    <row r="36" spans="1:109" s="3" customFormat="1" ht="12" hidden="1">
      <c r="A36" s="1">
        <v>24</v>
      </c>
      <c r="B36" s="80"/>
      <c r="E36" s="80"/>
      <c r="G36" s="80"/>
      <c r="I36" s="83"/>
      <c r="J36" s="35" t="str">
        <f t="shared" si="1"/>
        <v>.</v>
      </c>
      <c r="K36" s="83"/>
      <c r="L36" s="85"/>
      <c r="M36" s="80"/>
      <c r="N36" s="66"/>
      <c r="O36" s="593">
        <f t="shared" si="2"/>
        <v>0</v>
      </c>
      <c r="P36" s="66"/>
      <c r="Q36" s="80"/>
      <c r="R36" s="86">
        <f t="shared" si="3"/>
        <v>0</v>
      </c>
      <c r="S36" s="87"/>
      <c r="T36" s="38">
        <f t="shared" si="4"/>
        <v>0</v>
      </c>
      <c r="U36" s="969">
        <f t="shared" si="5"/>
        <v>0</v>
      </c>
      <c r="V36" s="38"/>
      <c r="W36" s="92"/>
      <c r="X36" s="93">
        <f t="shared" si="6"/>
        <v>0</v>
      </c>
      <c r="Y36" s="94"/>
      <c r="Z36" s="66"/>
      <c r="AA36" s="95"/>
      <c r="AC36" s="586">
        <f t="shared" si="7"/>
        <v>0</v>
      </c>
      <c r="AD36" s="37">
        <f t="shared" si="8"/>
        <v>0</v>
      </c>
      <c r="AE36" s="594"/>
      <c r="AF36" s="925"/>
      <c r="AG36" s="967">
        <f t="shared" si="9"/>
        <v>0</v>
      </c>
      <c r="AH36" s="968"/>
      <c r="AI36" s="969">
        <f t="shared" si="10"/>
        <v>0</v>
      </c>
      <c r="AJ36" s="595">
        <f t="shared" si="11"/>
        <v>0</v>
      </c>
      <c r="AK36" s="588">
        <f t="shared" si="12"/>
        <v>0</v>
      </c>
      <c r="AL36" s="595">
        <f t="shared" si="13"/>
        <v>0</v>
      </c>
      <c r="AM36" s="96"/>
      <c r="AN36" s="37"/>
      <c r="AO36" s="588">
        <f t="shared" si="14"/>
        <v>0</v>
      </c>
      <c r="AP36" s="37">
        <f t="shared" si="15"/>
        <v>0</v>
      </c>
      <c r="AQ36" s="883"/>
      <c r="AR36" s="37">
        <f t="shared" si="16"/>
        <v>0</v>
      </c>
      <c r="AS36" s="96"/>
      <c r="AT36" s="35" t="str">
        <f t="shared" si="17"/>
        <v>.</v>
      </c>
      <c r="AU36" s="96"/>
      <c r="AV36" s="37"/>
      <c r="AW36" s="588">
        <f t="shared" si="18"/>
        <v>0</v>
      </c>
      <c r="AX36" s="37">
        <f t="shared" si="19"/>
        <v>0</v>
      </c>
      <c r="AY36" s="588">
        <f>IF(PF!V30&gt;0,(CF36),0)</f>
        <v>0</v>
      </c>
      <c r="AZ36" s="37">
        <f t="shared" si="20"/>
        <v>0</v>
      </c>
      <c r="BA36" s="589">
        <f t="shared" si="21"/>
        <v>0</v>
      </c>
      <c r="BB36" s="37"/>
      <c r="BC36" s="587">
        <f t="shared" si="22"/>
        <v>0</v>
      </c>
      <c r="BD36" s="37">
        <f t="shared" si="23"/>
        <v>0</v>
      </c>
      <c r="BE36" s="979">
        <f t="shared" si="24"/>
        <v>0</v>
      </c>
      <c r="BF36" s="86">
        <f t="shared" si="25"/>
        <v>0</v>
      </c>
      <c r="BG36" s="953">
        <f>(BE36-BC36)*'E S'!$F$47</f>
        <v>0</v>
      </c>
      <c r="BH36" s="954"/>
      <c r="BI36" s="953">
        <f t="shared" si="26"/>
        <v>0</v>
      </c>
      <c r="BJ36" s="955"/>
      <c r="BK36" s="953">
        <f t="shared" si="27"/>
        <v>0</v>
      </c>
      <c r="BL36" s="955">
        <f t="shared" si="28"/>
        <v>0</v>
      </c>
      <c r="BM36" s="954"/>
      <c r="BN36" s="954"/>
      <c r="BO36" s="954"/>
      <c r="BP36" s="954">
        <v>1</v>
      </c>
      <c r="BQ36" s="956">
        <f t="shared" si="29"/>
        <v>0</v>
      </c>
      <c r="BR36" s="954">
        <v>2</v>
      </c>
      <c r="BS36" s="956">
        <f t="shared" si="30"/>
        <v>0</v>
      </c>
      <c r="BT36" s="954">
        <v>3</v>
      </c>
      <c r="BU36" s="956">
        <f t="shared" si="31"/>
        <v>0</v>
      </c>
      <c r="BV36" s="954">
        <v>4</v>
      </c>
      <c r="BW36" s="956">
        <f t="shared" si="32"/>
        <v>0</v>
      </c>
      <c r="BX36" s="954">
        <v>5</v>
      </c>
      <c r="BY36" s="956">
        <f t="shared" si="33"/>
        <v>0</v>
      </c>
      <c r="BZ36" s="954">
        <f t="shared" si="34"/>
        <v>0</v>
      </c>
      <c r="CA36" s="957">
        <f t="shared" si="35"/>
        <v>0</v>
      </c>
      <c r="CB36" s="957">
        <f t="shared" si="36"/>
        <v>0</v>
      </c>
      <c r="CC36" s="954">
        <f t="shared" si="37"/>
        <v>0</v>
      </c>
      <c r="CD36" s="958">
        <f t="shared" si="38"/>
        <v>0</v>
      </c>
      <c r="CE36" s="959">
        <f t="shared" si="39"/>
        <v>0</v>
      </c>
      <c r="CF36" s="960">
        <f t="shared" si="40"/>
        <v>0</v>
      </c>
      <c r="CG36" s="960">
        <f t="shared" si="41"/>
        <v>0</v>
      </c>
      <c r="CH36" s="960">
        <f t="shared" si="42"/>
        <v>0</v>
      </c>
      <c r="CI36" s="955">
        <f t="shared" si="43"/>
        <v>0</v>
      </c>
      <c r="CJ36" s="955">
        <f t="shared" si="44"/>
        <v>0</v>
      </c>
      <c r="CK36" s="954"/>
      <c r="CL36" s="964"/>
      <c r="CM36" s="965" t="s">
        <v>608</v>
      </c>
      <c r="CN36" s="966">
        <f t="shared" si="45"/>
        <v>0</v>
      </c>
      <c r="CO36" s="965" t="s">
        <v>609</v>
      </c>
      <c r="CP36" s="966">
        <f t="shared" si="46"/>
        <v>0</v>
      </c>
      <c r="CQ36" s="965" t="s">
        <v>610</v>
      </c>
      <c r="CR36" s="956">
        <f t="shared" si="47"/>
        <v>0</v>
      </c>
      <c r="CS36" s="964">
        <f t="shared" si="0"/>
        <v>0</v>
      </c>
      <c r="CT36" s="964"/>
      <c r="CU36" s="935"/>
      <c r="CV36" s="935"/>
      <c r="CW36" s="935"/>
      <c r="CX36" s="935"/>
      <c r="CY36" s="935"/>
      <c r="CZ36" s="935"/>
      <c r="DA36" s="935"/>
      <c r="DB36" s="935"/>
      <c r="DC36" s="935"/>
      <c r="DD36" s="935"/>
      <c r="DE36" s="935"/>
    </row>
    <row r="37" spans="1:109" s="3" customFormat="1" ht="12" hidden="1">
      <c r="A37" s="1">
        <v>25</v>
      </c>
      <c r="B37" s="80"/>
      <c r="E37" s="80"/>
      <c r="G37" s="80"/>
      <c r="I37" s="83"/>
      <c r="J37" s="35" t="str">
        <f t="shared" si="1"/>
        <v>.</v>
      </c>
      <c r="K37" s="83"/>
      <c r="L37" s="85"/>
      <c r="M37" s="80"/>
      <c r="N37" s="66"/>
      <c r="O37" s="593">
        <f t="shared" si="2"/>
        <v>0</v>
      </c>
      <c r="P37" s="66"/>
      <c r="Q37" s="80"/>
      <c r="R37" s="86">
        <f t="shared" si="3"/>
        <v>0</v>
      </c>
      <c r="S37" s="87"/>
      <c r="T37" s="38">
        <f t="shared" si="4"/>
        <v>0</v>
      </c>
      <c r="U37" s="969">
        <f t="shared" si="5"/>
        <v>0</v>
      </c>
      <c r="V37" s="38"/>
      <c r="W37" s="92"/>
      <c r="X37" s="93">
        <f t="shared" si="6"/>
        <v>0</v>
      </c>
      <c r="Y37" s="94"/>
      <c r="Z37" s="66"/>
      <c r="AA37" s="95"/>
      <c r="AC37" s="586">
        <f t="shared" si="7"/>
        <v>0</v>
      </c>
      <c r="AD37" s="37">
        <f t="shared" si="8"/>
        <v>0</v>
      </c>
      <c r="AE37" s="594"/>
      <c r="AF37" s="925"/>
      <c r="AG37" s="967">
        <f t="shared" si="9"/>
        <v>0</v>
      </c>
      <c r="AH37" s="968"/>
      <c r="AI37" s="969">
        <f t="shared" si="10"/>
        <v>0</v>
      </c>
      <c r="AJ37" s="595">
        <f t="shared" si="11"/>
        <v>0</v>
      </c>
      <c r="AK37" s="588">
        <f t="shared" si="12"/>
        <v>0</v>
      </c>
      <c r="AL37" s="595">
        <f t="shared" si="13"/>
        <v>0</v>
      </c>
      <c r="AM37" s="96"/>
      <c r="AN37" s="37"/>
      <c r="AO37" s="588">
        <f t="shared" si="14"/>
        <v>0</v>
      </c>
      <c r="AP37" s="37">
        <f t="shared" si="15"/>
        <v>0</v>
      </c>
      <c r="AQ37" s="883"/>
      <c r="AR37" s="37">
        <f t="shared" si="16"/>
        <v>0</v>
      </c>
      <c r="AS37" s="96"/>
      <c r="AT37" s="35" t="str">
        <f t="shared" si="17"/>
        <v>.</v>
      </c>
      <c r="AU37" s="96"/>
      <c r="AV37" s="37"/>
      <c r="AW37" s="588">
        <f t="shared" si="18"/>
        <v>0</v>
      </c>
      <c r="AX37" s="37">
        <f t="shared" si="19"/>
        <v>0</v>
      </c>
      <c r="AY37" s="588">
        <f>IF(PF!V31&gt;0,(CF37),0)</f>
        <v>0</v>
      </c>
      <c r="AZ37" s="37">
        <f t="shared" si="20"/>
        <v>0</v>
      </c>
      <c r="BA37" s="589">
        <f t="shared" si="21"/>
        <v>0</v>
      </c>
      <c r="BB37" s="37"/>
      <c r="BC37" s="587">
        <f t="shared" si="22"/>
        <v>0</v>
      </c>
      <c r="BD37" s="37">
        <f t="shared" si="23"/>
        <v>0</v>
      </c>
      <c r="BE37" s="979">
        <f t="shared" si="24"/>
        <v>0</v>
      </c>
      <c r="BF37" s="86">
        <f t="shared" si="25"/>
        <v>0</v>
      </c>
      <c r="BG37" s="953">
        <f>(BE37-BC37)*'E S'!$F$47</f>
        <v>0</v>
      </c>
      <c r="BH37" s="954"/>
      <c r="BI37" s="953">
        <f t="shared" si="26"/>
        <v>0</v>
      </c>
      <c r="BJ37" s="955"/>
      <c r="BK37" s="953">
        <f t="shared" si="27"/>
        <v>0</v>
      </c>
      <c r="BL37" s="955">
        <f t="shared" si="28"/>
        <v>0</v>
      </c>
      <c r="BM37" s="954"/>
      <c r="BN37" s="954"/>
      <c r="BO37" s="954"/>
      <c r="BP37" s="954">
        <v>1</v>
      </c>
      <c r="BQ37" s="956">
        <f t="shared" si="29"/>
        <v>0</v>
      </c>
      <c r="BR37" s="954">
        <v>2</v>
      </c>
      <c r="BS37" s="956">
        <f t="shared" si="30"/>
        <v>0</v>
      </c>
      <c r="BT37" s="954">
        <v>3</v>
      </c>
      <c r="BU37" s="956">
        <f t="shared" si="31"/>
        <v>0</v>
      </c>
      <c r="BV37" s="954">
        <v>4</v>
      </c>
      <c r="BW37" s="956">
        <f t="shared" si="32"/>
        <v>0</v>
      </c>
      <c r="BX37" s="954">
        <v>5</v>
      </c>
      <c r="BY37" s="956">
        <f t="shared" si="33"/>
        <v>0</v>
      </c>
      <c r="BZ37" s="954">
        <f t="shared" si="34"/>
        <v>0</v>
      </c>
      <c r="CA37" s="957">
        <f t="shared" si="35"/>
        <v>0</v>
      </c>
      <c r="CB37" s="957">
        <f t="shared" si="36"/>
        <v>0</v>
      </c>
      <c r="CC37" s="954">
        <f t="shared" si="37"/>
        <v>0</v>
      </c>
      <c r="CD37" s="958">
        <f t="shared" si="38"/>
        <v>0</v>
      </c>
      <c r="CE37" s="959">
        <f t="shared" si="39"/>
        <v>0</v>
      </c>
      <c r="CF37" s="960">
        <f t="shared" si="40"/>
        <v>0</v>
      </c>
      <c r="CG37" s="960">
        <f t="shared" si="41"/>
        <v>0</v>
      </c>
      <c r="CH37" s="960">
        <f t="shared" si="42"/>
        <v>0</v>
      </c>
      <c r="CI37" s="955">
        <f t="shared" si="43"/>
        <v>0</v>
      </c>
      <c r="CJ37" s="955">
        <f t="shared" si="44"/>
        <v>0</v>
      </c>
      <c r="CK37" s="954"/>
      <c r="CL37" s="964"/>
      <c r="CM37" s="965" t="s">
        <v>608</v>
      </c>
      <c r="CN37" s="966">
        <f t="shared" si="45"/>
        <v>0</v>
      </c>
      <c r="CO37" s="965" t="s">
        <v>609</v>
      </c>
      <c r="CP37" s="966">
        <f t="shared" si="46"/>
        <v>0</v>
      </c>
      <c r="CQ37" s="965" t="s">
        <v>610</v>
      </c>
      <c r="CR37" s="956">
        <f t="shared" si="47"/>
        <v>0</v>
      </c>
      <c r="CS37" s="964">
        <f t="shared" si="0"/>
        <v>0</v>
      </c>
      <c r="CT37" s="964"/>
      <c r="CU37" s="935"/>
      <c r="CV37" s="935"/>
      <c r="CW37" s="935"/>
      <c r="CX37" s="935"/>
      <c r="CY37" s="935"/>
      <c r="CZ37" s="935"/>
      <c r="DA37" s="935"/>
      <c r="DB37" s="935"/>
      <c r="DC37" s="935"/>
      <c r="DD37" s="935"/>
      <c r="DE37" s="935"/>
    </row>
    <row r="38" spans="1:109" s="3" customFormat="1" ht="12" hidden="1">
      <c r="A38" s="1">
        <v>26</v>
      </c>
      <c r="B38" s="80"/>
      <c r="E38" s="80"/>
      <c r="G38" s="80"/>
      <c r="I38" s="83"/>
      <c r="J38" s="35" t="str">
        <f t="shared" si="1"/>
        <v>.</v>
      </c>
      <c r="K38" s="83"/>
      <c r="L38" s="85"/>
      <c r="M38" s="80"/>
      <c r="N38" s="66"/>
      <c r="O38" s="593">
        <f t="shared" si="2"/>
        <v>0</v>
      </c>
      <c r="P38" s="66"/>
      <c r="Q38" s="80"/>
      <c r="R38" s="86">
        <f t="shared" si="3"/>
        <v>0</v>
      </c>
      <c r="S38" s="87"/>
      <c r="T38" s="38">
        <f t="shared" si="4"/>
        <v>0</v>
      </c>
      <c r="U38" s="969">
        <f t="shared" si="5"/>
        <v>0</v>
      </c>
      <c r="V38" s="38"/>
      <c r="W38" s="92"/>
      <c r="X38" s="93">
        <f t="shared" si="6"/>
        <v>0</v>
      </c>
      <c r="Y38" s="94"/>
      <c r="Z38" s="66"/>
      <c r="AA38" s="95"/>
      <c r="AC38" s="586">
        <f t="shared" si="7"/>
        <v>0</v>
      </c>
      <c r="AD38" s="37">
        <f t="shared" si="8"/>
        <v>0</v>
      </c>
      <c r="AE38" s="594"/>
      <c r="AF38" s="925"/>
      <c r="AG38" s="967">
        <f t="shared" si="9"/>
        <v>0</v>
      </c>
      <c r="AH38" s="968"/>
      <c r="AI38" s="969">
        <f t="shared" si="10"/>
        <v>0</v>
      </c>
      <c r="AJ38" s="595">
        <f t="shared" si="11"/>
        <v>0</v>
      </c>
      <c r="AK38" s="588">
        <f t="shared" si="12"/>
        <v>0</v>
      </c>
      <c r="AL38" s="595">
        <f t="shared" si="13"/>
        <v>0</v>
      </c>
      <c r="AM38" s="96"/>
      <c r="AN38" s="37"/>
      <c r="AO38" s="588">
        <f t="shared" si="14"/>
        <v>0</v>
      </c>
      <c r="AP38" s="37">
        <f t="shared" si="15"/>
        <v>0</v>
      </c>
      <c r="AQ38" s="883"/>
      <c r="AR38" s="37">
        <f t="shared" si="16"/>
        <v>0</v>
      </c>
      <c r="AS38" s="96"/>
      <c r="AT38" s="35" t="str">
        <f t="shared" si="17"/>
        <v>.</v>
      </c>
      <c r="AU38" s="96"/>
      <c r="AV38" s="37"/>
      <c r="AW38" s="588">
        <f t="shared" si="18"/>
        <v>0</v>
      </c>
      <c r="AX38" s="37">
        <f t="shared" si="19"/>
        <v>0</v>
      </c>
      <c r="AY38" s="588">
        <f>IF(PF!V32&gt;0,(CF38),0)</f>
        <v>0</v>
      </c>
      <c r="AZ38" s="37">
        <f t="shared" si="20"/>
        <v>0</v>
      </c>
      <c r="BA38" s="589">
        <f t="shared" si="21"/>
        <v>0</v>
      </c>
      <c r="BB38" s="37"/>
      <c r="BC38" s="587">
        <f t="shared" si="22"/>
        <v>0</v>
      </c>
      <c r="BD38" s="37">
        <f t="shared" si="23"/>
        <v>0</v>
      </c>
      <c r="BE38" s="979">
        <f t="shared" si="24"/>
        <v>0</v>
      </c>
      <c r="BF38" s="86">
        <f t="shared" si="25"/>
        <v>0</v>
      </c>
      <c r="BG38" s="953">
        <f>(BE38-BC38)*'E S'!$F$47</f>
        <v>0</v>
      </c>
      <c r="BH38" s="954"/>
      <c r="BI38" s="953">
        <f t="shared" si="26"/>
        <v>0</v>
      </c>
      <c r="BJ38" s="955"/>
      <c r="BK38" s="953">
        <f t="shared" si="27"/>
        <v>0</v>
      </c>
      <c r="BL38" s="955">
        <f t="shared" si="28"/>
        <v>0</v>
      </c>
      <c r="BM38" s="954"/>
      <c r="BN38" s="954"/>
      <c r="BO38" s="954"/>
      <c r="BP38" s="954">
        <v>1</v>
      </c>
      <c r="BQ38" s="956">
        <f t="shared" si="29"/>
        <v>0</v>
      </c>
      <c r="BR38" s="954">
        <v>2</v>
      </c>
      <c r="BS38" s="956">
        <f t="shared" si="30"/>
        <v>0</v>
      </c>
      <c r="BT38" s="954">
        <v>3</v>
      </c>
      <c r="BU38" s="956">
        <f t="shared" si="31"/>
        <v>0</v>
      </c>
      <c r="BV38" s="954">
        <v>4</v>
      </c>
      <c r="BW38" s="956">
        <f t="shared" si="32"/>
        <v>0</v>
      </c>
      <c r="BX38" s="954">
        <v>5</v>
      </c>
      <c r="BY38" s="956">
        <f t="shared" si="33"/>
        <v>0</v>
      </c>
      <c r="BZ38" s="954">
        <f t="shared" si="34"/>
        <v>0</v>
      </c>
      <c r="CA38" s="957">
        <f t="shared" si="35"/>
        <v>0</v>
      </c>
      <c r="CB38" s="957">
        <f t="shared" si="36"/>
        <v>0</v>
      </c>
      <c r="CC38" s="954">
        <f t="shared" si="37"/>
        <v>0</v>
      </c>
      <c r="CD38" s="958">
        <f t="shared" si="38"/>
        <v>0</v>
      </c>
      <c r="CE38" s="959">
        <f t="shared" si="39"/>
        <v>0</v>
      </c>
      <c r="CF38" s="960">
        <f t="shared" si="40"/>
        <v>0</v>
      </c>
      <c r="CG38" s="960">
        <f t="shared" si="41"/>
        <v>0</v>
      </c>
      <c r="CH38" s="960">
        <f t="shared" si="42"/>
        <v>0</v>
      </c>
      <c r="CI38" s="955">
        <f t="shared" si="43"/>
        <v>0</v>
      </c>
      <c r="CJ38" s="955">
        <f t="shared" si="44"/>
        <v>0</v>
      </c>
      <c r="CK38" s="954"/>
      <c r="CL38" s="964"/>
      <c r="CM38" s="965" t="s">
        <v>608</v>
      </c>
      <c r="CN38" s="966">
        <f t="shared" si="45"/>
        <v>0</v>
      </c>
      <c r="CO38" s="965" t="s">
        <v>609</v>
      </c>
      <c r="CP38" s="966">
        <f t="shared" si="46"/>
        <v>0</v>
      </c>
      <c r="CQ38" s="965" t="s">
        <v>610</v>
      </c>
      <c r="CR38" s="956">
        <f t="shared" si="47"/>
        <v>0</v>
      </c>
      <c r="CS38" s="964">
        <f t="shared" si="0"/>
        <v>0</v>
      </c>
      <c r="CT38" s="964"/>
      <c r="CU38" s="935"/>
      <c r="CV38" s="935"/>
      <c r="CW38" s="935"/>
      <c r="CX38" s="935"/>
      <c r="CY38" s="935"/>
      <c r="CZ38" s="935"/>
      <c r="DA38" s="935"/>
      <c r="DB38" s="935"/>
      <c r="DC38" s="935"/>
      <c r="DD38" s="935"/>
      <c r="DE38" s="935"/>
    </row>
    <row r="39" spans="1:109" s="3" customFormat="1" ht="12" hidden="1">
      <c r="A39" s="1">
        <v>27</v>
      </c>
      <c r="B39" s="80"/>
      <c r="E39" s="80"/>
      <c r="G39" s="80"/>
      <c r="I39" s="83"/>
      <c r="J39" s="35" t="str">
        <f t="shared" si="1"/>
        <v>.</v>
      </c>
      <c r="K39" s="83"/>
      <c r="L39" s="85"/>
      <c r="M39" s="80"/>
      <c r="N39" s="66"/>
      <c r="O39" s="593">
        <f t="shared" si="2"/>
        <v>0</v>
      </c>
      <c r="P39" s="66"/>
      <c r="Q39" s="89"/>
      <c r="R39" s="86">
        <f t="shared" si="3"/>
        <v>0</v>
      </c>
      <c r="S39" s="87"/>
      <c r="T39" s="38">
        <f t="shared" si="4"/>
        <v>0</v>
      </c>
      <c r="U39" s="969">
        <f t="shared" si="5"/>
        <v>0</v>
      </c>
      <c r="V39" s="38"/>
      <c r="W39" s="92"/>
      <c r="X39" s="93">
        <f t="shared" si="6"/>
        <v>0</v>
      </c>
      <c r="Y39" s="94"/>
      <c r="Z39" s="66"/>
      <c r="AA39" s="95"/>
      <c r="AC39" s="586">
        <f t="shared" si="7"/>
        <v>0</v>
      </c>
      <c r="AD39" s="37">
        <f t="shared" si="8"/>
        <v>0</v>
      </c>
      <c r="AE39" s="594"/>
      <c r="AF39" s="925"/>
      <c r="AG39" s="967">
        <f t="shared" si="9"/>
        <v>0</v>
      </c>
      <c r="AH39" s="968"/>
      <c r="AI39" s="969">
        <f t="shared" si="10"/>
        <v>0</v>
      </c>
      <c r="AJ39" s="595">
        <f t="shared" si="11"/>
        <v>0</v>
      </c>
      <c r="AK39" s="588">
        <f t="shared" si="12"/>
        <v>0</v>
      </c>
      <c r="AL39" s="595">
        <f t="shared" si="13"/>
        <v>0</v>
      </c>
      <c r="AM39" s="96"/>
      <c r="AN39" s="37"/>
      <c r="AO39" s="588">
        <f t="shared" si="14"/>
        <v>0</v>
      </c>
      <c r="AP39" s="37">
        <f t="shared" si="15"/>
        <v>0</v>
      </c>
      <c r="AQ39" s="883"/>
      <c r="AR39" s="37">
        <f t="shared" si="16"/>
        <v>0</v>
      </c>
      <c r="AS39" s="96"/>
      <c r="AT39" s="35" t="str">
        <f t="shared" si="17"/>
        <v>.</v>
      </c>
      <c r="AU39" s="96"/>
      <c r="AV39" s="37"/>
      <c r="AW39" s="588">
        <f t="shared" si="18"/>
        <v>0</v>
      </c>
      <c r="AX39" s="37">
        <f t="shared" si="19"/>
        <v>0</v>
      </c>
      <c r="AY39" s="588">
        <f>IF(PF!V33&gt;0,(CF39),0)</f>
        <v>0</v>
      </c>
      <c r="AZ39" s="37">
        <f t="shared" si="20"/>
        <v>0</v>
      </c>
      <c r="BA39" s="589">
        <f t="shared" si="21"/>
        <v>0</v>
      </c>
      <c r="BB39" s="37"/>
      <c r="BC39" s="587">
        <f t="shared" si="22"/>
        <v>0</v>
      </c>
      <c r="BD39" s="37">
        <f t="shared" si="23"/>
        <v>0</v>
      </c>
      <c r="BE39" s="979">
        <f t="shared" si="24"/>
        <v>0</v>
      </c>
      <c r="BF39" s="86">
        <f t="shared" si="25"/>
        <v>0</v>
      </c>
      <c r="BG39" s="953">
        <f>(BE39-BC39)*'E S'!$F$47</f>
        <v>0</v>
      </c>
      <c r="BH39" s="954"/>
      <c r="BI39" s="953">
        <f t="shared" si="26"/>
        <v>0</v>
      </c>
      <c r="BJ39" s="955"/>
      <c r="BK39" s="953">
        <f t="shared" si="27"/>
        <v>0</v>
      </c>
      <c r="BL39" s="955">
        <f t="shared" si="28"/>
        <v>0</v>
      </c>
      <c r="BM39" s="954"/>
      <c r="BN39" s="954"/>
      <c r="BO39" s="954"/>
      <c r="BP39" s="954">
        <v>1</v>
      </c>
      <c r="BQ39" s="956">
        <f t="shared" si="29"/>
        <v>0</v>
      </c>
      <c r="BR39" s="954">
        <v>2</v>
      </c>
      <c r="BS39" s="956">
        <f t="shared" si="30"/>
        <v>0</v>
      </c>
      <c r="BT39" s="954">
        <v>3</v>
      </c>
      <c r="BU39" s="956">
        <f t="shared" si="31"/>
        <v>0</v>
      </c>
      <c r="BV39" s="954">
        <v>4</v>
      </c>
      <c r="BW39" s="956">
        <f t="shared" si="32"/>
        <v>0</v>
      </c>
      <c r="BX39" s="954">
        <v>5</v>
      </c>
      <c r="BY39" s="956">
        <f t="shared" si="33"/>
        <v>0</v>
      </c>
      <c r="BZ39" s="954">
        <f t="shared" si="34"/>
        <v>0</v>
      </c>
      <c r="CA39" s="957">
        <f t="shared" si="35"/>
        <v>0</v>
      </c>
      <c r="CB39" s="957">
        <f t="shared" si="36"/>
        <v>0</v>
      </c>
      <c r="CC39" s="954">
        <f t="shared" si="37"/>
        <v>0</v>
      </c>
      <c r="CD39" s="958">
        <f t="shared" si="38"/>
        <v>0</v>
      </c>
      <c r="CE39" s="959">
        <f t="shared" si="39"/>
        <v>0</v>
      </c>
      <c r="CF39" s="960">
        <f t="shared" si="40"/>
        <v>0</v>
      </c>
      <c r="CG39" s="960">
        <f t="shared" si="41"/>
        <v>0</v>
      </c>
      <c r="CH39" s="960">
        <f t="shared" si="42"/>
        <v>0</v>
      </c>
      <c r="CI39" s="955">
        <f t="shared" si="43"/>
        <v>0</v>
      </c>
      <c r="CJ39" s="955">
        <f t="shared" si="44"/>
        <v>0</v>
      </c>
      <c r="CK39" s="954"/>
      <c r="CL39" s="964"/>
      <c r="CM39" s="965" t="s">
        <v>608</v>
      </c>
      <c r="CN39" s="966">
        <f t="shared" si="45"/>
        <v>0</v>
      </c>
      <c r="CO39" s="965" t="s">
        <v>609</v>
      </c>
      <c r="CP39" s="966">
        <f t="shared" si="46"/>
        <v>0</v>
      </c>
      <c r="CQ39" s="965" t="s">
        <v>610</v>
      </c>
      <c r="CR39" s="956">
        <f t="shared" si="47"/>
        <v>0</v>
      </c>
      <c r="CS39" s="964">
        <f t="shared" si="0"/>
        <v>0</v>
      </c>
      <c r="CT39" s="964"/>
      <c r="CU39" s="935"/>
      <c r="CV39" s="935"/>
      <c r="CW39" s="935"/>
      <c r="CX39" s="935"/>
      <c r="CY39" s="935"/>
      <c r="CZ39" s="935"/>
      <c r="DA39" s="935"/>
      <c r="DB39" s="935"/>
      <c r="DC39" s="935"/>
      <c r="DD39" s="935"/>
      <c r="DE39" s="935"/>
    </row>
    <row r="40" spans="1:109" s="3" customFormat="1" ht="12" hidden="1">
      <c r="A40" s="1">
        <v>28</v>
      </c>
      <c r="B40" s="80"/>
      <c r="E40" s="80"/>
      <c r="G40" s="80"/>
      <c r="I40" s="83"/>
      <c r="J40" s="35" t="str">
        <f t="shared" si="1"/>
        <v>.</v>
      </c>
      <c r="K40" s="83"/>
      <c r="L40" s="85"/>
      <c r="M40" s="80"/>
      <c r="N40" s="66"/>
      <c r="O40" s="593">
        <f t="shared" si="2"/>
        <v>0</v>
      </c>
      <c r="P40" s="66"/>
      <c r="Q40" s="90"/>
      <c r="R40" s="86">
        <f t="shared" si="3"/>
        <v>0</v>
      </c>
      <c r="S40" s="87"/>
      <c r="T40" s="38">
        <f t="shared" si="4"/>
        <v>0</v>
      </c>
      <c r="U40" s="969">
        <f t="shared" si="5"/>
        <v>0</v>
      </c>
      <c r="V40" s="38"/>
      <c r="W40" s="92"/>
      <c r="X40" s="93">
        <f t="shared" si="6"/>
        <v>0</v>
      </c>
      <c r="Y40" s="94"/>
      <c r="Z40" s="66"/>
      <c r="AA40" s="95"/>
      <c r="AC40" s="586">
        <f t="shared" si="7"/>
        <v>0</v>
      </c>
      <c r="AD40" s="37">
        <f t="shared" si="8"/>
        <v>0</v>
      </c>
      <c r="AE40" s="594"/>
      <c r="AF40" s="925"/>
      <c r="AG40" s="967">
        <f t="shared" si="9"/>
        <v>0</v>
      </c>
      <c r="AH40" s="968"/>
      <c r="AI40" s="969">
        <f t="shared" si="10"/>
        <v>0</v>
      </c>
      <c r="AJ40" s="595">
        <f t="shared" si="11"/>
        <v>0</v>
      </c>
      <c r="AK40" s="588">
        <f t="shared" si="12"/>
        <v>0</v>
      </c>
      <c r="AL40" s="595">
        <f t="shared" si="13"/>
        <v>0</v>
      </c>
      <c r="AM40" s="96"/>
      <c r="AN40" s="37"/>
      <c r="AO40" s="588">
        <f t="shared" si="14"/>
        <v>0</v>
      </c>
      <c r="AP40" s="37">
        <f t="shared" si="15"/>
        <v>0</v>
      </c>
      <c r="AQ40" s="883"/>
      <c r="AR40" s="37">
        <f t="shared" si="16"/>
        <v>0</v>
      </c>
      <c r="AS40" s="96"/>
      <c r="AT40" s="35" t="str">
        <f t="shared" si="17"/>
        <v>.</v>
      </c>
      <c r="AU40" s="96"/>
      <c r="AV40" s="37"/>
      <c r="AW40" s="588">
        <f t="shared" si="18"/>
        <v>0</v>
      </c>
      <c r="AX40" s="37">
        <f t="shared" si="19"/>
        <v>0</v>
      </c>
      <c r="AY40" s="588">
        <f>IF(PF!V34&gt;0,(CF40),0)</f>
        <v>0</v>
      </c>
      <c r="AZ40" s="37">
        <f t="shared" si="20"/>
        <v>0</v>
      </c>
      <c r="BA40" s="589">
        <f t="shared" si="21"/>
        <v>0</v>
      </c>
      <c r="BB40" s="37"/>
      <c r="BC40" s="587">
        <f t="shared" si="22"/>
        <v>0</v>
      </c>
      <c r="BD40" s="37">
        <f t="shared" si="23"/>
        <v>0</v>
      </c>
      <c r="BE40" s="979">
        <f t="shared" si="24"/>
        <v>0</v>
      </c>
      <c r="BF40" s="86">
        <f t="shared" si="25"/>
        <v>0</v>
      </c>
      <c r="BG40" s="953">
        <f>(BE40-BC40)*'E S'!$F$47</f>
        <v>0</v>
      </c>
      <c r="BH40" s="954"/>
      <c r="BI40" s="953">
        <f t="shared" si="26"/>
        <v>0</v>
      </c>
      <c r="BJ40" s="955"/>
      <c r="BK40" s="953">
        <f t="shared" si="27"/>
        <v>0</v>
      </c>
      <c r="BL40" s="955">
        <f t="shared" si="28"/>
        <v>0</v>
      </c>
      <c r="BM40" s="954"/>
      <c r="BN40" s="954"/>
      <c r="BO40" s="954"/>
      <c r="BP40" s="954">
        <v>1</v>
      </c>
      <c r="BQ40" s="956">
        <f t="shared" si="29"/>
        <v>0</v>
      </c>
      <c r="BR40" s="954">
        <v>2</v>
      </c>
      <c r="BS40" s="956">
        <f t="shared" si="30"/>
        <v>0</v>
      </c>
      <c r="BT40" s="954">
        <v>3</v>
      </c>
      <c r="BU40" s="956">
        <f t="shared" si="31"/>
        <v>0</v>
      </c>
      <c r="BV40" s="954">
        <v>4</v>
      </c>
      <c r="BW40" s="956">
        <f t="shared" si="32"/>
        <v>0</v>
      </c>
      <c r="BX40" s="954">
        <v>5</v>
      </c>
      <c r="BY40" s="956">
        <f t="shared" si="33"/>
        <v>0</v>
      </c>
      <c r="BZ40" s="954">
        <f t="shared" si="34"/>
        <v>0</v>
      </c>
      <c r="CA40" s="957">
        <f t="shared" si="35"/>
        <v>0</v>
      </c>
      <c r="CB40" s="957">
        <f t="shared" si="36"/>
        <v>0</v>
      </c>
      <c r="CC40" s="954">
        <f t="shared" si="37"/>
        <v>0</v>
      </c>
      <c r="CD40" s="958">
        <f t="shared" si="38"/>
        <v>0</v>
      </c>
      <c r="CE40" s="959">
        <f t="shared" si="39"/>
        <v>0</v>
      </c>
      <c r="CF40" s="960">
        <f t="shared" si="40"/>
        <v>0</v>
      </c>
      <c r="CG40" s="960">
        <f t="shared" si="41"/>
        <v>0</v>
      </c>
      <c r="CH40" s="960">
        <f t="shared" si="42"/>
        <v>0</v>
      </c>
      <c r="CI40" s="955">
        <f t="shared" si="43"/>
        <v>0</v>
      </c>
      <c r="CJ40" s="955">
        <f t="shared" si="44"/>
        <v>0</v>
      </c>
      <c r="CK40" s="954"/>
      <c r="CL40" s="964"/>
      <c r="CM40" s="965" t="s">
        <v>608</v>
      </c>
      <c r="CN40" s="966">
        <f t="shared" si="45"/>
        <v>0</v>
      </c>
      <c r="CO40" s="965" t="s">
        <v>609</v>
      </c>
      <c r="CP40" s="966">
        <f t="shared" si="46"/>
        <v>0</v>
      </c>
      <c r="CQ40" s="965" t="s">
        <v>610</v>
      </c>
      <c r="CR40" s="956">
        <f t="shared" si="47"/>
        <v>0</v>
      </c>
      <c r="CS40" s="964">
        <f t="shared" si="0"/>
        <v>0</v>
      </c>
      <c r="CT40" s="964"/>
      <c r="CU40" s="935"/>
      <c r="CV40" s="935"/>
      <c r="CW40" s="935"/>
      <c r="CX40" s="935"/>
      <c r="CY40" s="935"/>
      <c r="CZ40" s="935"/>
      <c r="DA40" s="935"/>
      <c r="DB40" s="935"/>
      <c r="DC40" s="935"/>
      <c r="DD40" s="935"/>
      <c r="DE40" s="935"/>
    </row>
    <row r="41" spans="1:109" s="3" customFormat="1" ht="12" hidden="1">
      <c r="A41" s="1">
        <v>29</v>
      </c>
      <c r="B41" s="80"/>
      <c r="E41" s="80"/>
      <c r="G41" s="80"/>
      <c r="I41" s="83"/>
      <c r="J41" s="35"/>
      <c r="K41" s="83"/>
      <c r="L41" s="85"/>
      <c r="M41" s="80"/>
      <c r="N41" s="66"/>
      <c r="O41" s="593">
        <f t="shared" si="2"/>
        <v>0</v>
      </c>
      <c r="P41" s="66"/>
      <c r="Q41" s="90"/>
      <c r="R41" s="86">
        <f t="shared" si="3"/>
        <v>0</v>
      </c>
      <c r="S41" s="87"/>
      <c r="T41" s="38">
        <f t="shared" si="4"/>
        <v>0</v>
      </c>
      <c r="U41" s="969">
        <f t="shared" si="5"/>
        <v>0</v>
      </c>
      <c r="V41" s="38"/>
      <c r="W41" s="92"/>
      <c r="X41" s="93">
        <f t="shared" si="6"/>
        <v>0</v>
      </c>
      <c r="Y41" s="94"/>
      <c r="Z41" s="66"/>
      <c r="AA41" s="95"/>
      <c r="AC41" s="586">
        <f t="shared" si="7"/>
        <v>0</v>
      </c>
      <c r="AD41" s="37">
        <f t="shared" si="8"/>
        <v>0</v>
      </c>
      <c r="AE41" s="594"/>
      <c r="AF41" s="925"/>
      <c r="AG41" s="967">
        <f t="shared" si="9"/>
        <v>0</v>
      </c>
      <c r="AH41" s="968"/>
      <c r="AI41" s="969">
        <f t="shared" si="10"/>
        <v>0</v>
      </c>
      <c r="AJ41" s="595">
        <f t="shared" si="11"/>
        <v>0</v>
      </c>
      <c r="AK41" s="588">
        <f t="shared" si="12"/>
        <v>0</v>
      </c>
      <c r="AL41" s="595">
        <f t="shared" si="13"/>
        <v>0</v>
      </c>
      <c r="AM41" s="96"/>
      <c r="AN41" s="37"/>
      <c r="AO41" s="588">
        <f t="shared" si="14"/>
        <v>0</v>
      </c>
      <c r="AP41" s="37">
        <f t="shared" si="15"/>
        <v>0</v>
      </c>
      <c r="AQ41" s="883"/>
      <c r="AR41" s="37">
        <f t="shared" si="16"/>
        <v>0</v>
      </c>
      <c r="AS41" s="96"/>
      <c r="AT41" s="35" t="str">
        <f t="shared" si="17"/>
        <v>.</v>
      </c>
      <c r="AU41" s="96"/>
      <c r="AV41" s="37"/>
      <c r="AW41" s="588">
        <f t="shared" si="18"/>
        <v>0</v>
      </c>
      <c r="AX41" s="37">
        <f t="shared" si="19"/>
        <v>0</v>
      </c>
      <c r="AY41" s="588">
        <f>IF(PF!V35&gt;0,(CF41),0)</f>
        <v>0</v>
      </c>
      <c r="AZ41" s="37">
        <f t="shared" si="20"/>
        <v>0</v>
      </c>
      <c r="BA41" s="589">
        <f t="shared" si="21"/>
        <v>0</v>
      </c>
      <c r="BB41" s="37"/>
      <c r="BC41" s="587">
        <f t="shared" si="22"/>
        <v>0</v>
      </c>
      <c r="BD41" s="37">
        <f t="shared" si="23"/>
        <v>0</v>
      </c>
      <c r="BE41" s="979">
        <f t="shared" si="24"/>
        <v>0</v>
      </c>
      <c r="BF41" s="86">
        <f t="shared" si="25"/>
        <v>0</v>
      </c>
      <c r="BG41" s="953">
        <f>(BE41-BC41)*'E S'!$F$47</f>
        <v>0</v>
      </c>
      <c r="BH41" s="954"/>
      <c r="BI41" s="953">
        <f t="shared" si="26"/>
        <v>0</v>
      </c>
      <c r="BJ41" s="955"/>
      <c r="BK41" s="953">
        <f t="shared" si="27"/>
        <v>0</v>
      </c>
      <c r="BL41" s="955">
        <f t="shared" si="28"/>
        <v>0</v>
      </c>
      <c r="BM41" s="954"/>
      <c r="BN41" s="954"/>
      <c r="BO41" s="954"/>
      <c r="BP41" s="954">
        <v>1</v>
      </c>
      <c r="BQ41" s="956">
        <f t="shared" si="29"/>
        <v>0</v>
      </c>
      <c r="BR41" s="954">
        <v>2</v>
      </c>
      <c r="BS41" s="956">
        <f t="shared" si="30"/>
        <v>0</v>
      </c>
      <c r="BT41" s="954">
        <v>3</v>
      </c>
      <c r="BU41" s="956">
        <f t="shared" si="31"/>
        <v>0</v>
      </c>
      <c r="BV41" s="954">
        <v>4</v>
      </c>
      <c r="BW41" s="956">
        <f t="shared" si="32"/>
        <v>0</v>
      </c>
      <c r="BX41" s="954">
        <v>5</v>
      </c>
      <c r="BY41" s="956">
        <f t="shared" si="33"/>
        <v>0</v>
      </c>
      <c r="BZ41" s="954">
        <f t="shared" si="34"/>
        <v>0</v>
      </c>
      <c r="CA41" s="957">
        <f t="shared" si="35"/>
        <v>0</v>
      </c>
      <c r="CB41" s="957">
        <f t="shared" si="36"/>
        <v>0</v>
      </c>
      <c r="CC41" s="954">
        <f t="shared" si="37"/>
        <v>0</v>
      </c>
      <c r="CD41" s="958">
        <f t="shared" si="38"/>
        <v>0</v>
      </c>
      <c r="CE41" s="959">
        <f t="shared" si="39"/>
        <v>0</v>
      </c>
      <c r="CF41" s="960">
        <f t="shared" si="40"/>
        <v>0</v>
      </c>
      <c r="CG41" s="960">
        <f t="shared" si="41"/>
        <v>0</v>
      </c>
      <c r="CH41" s="960">
        <f t="shared" si="42"/>
        <v>0</v>
      </c>
      <c r="CI41" s="955">
        <f t="shared" si="43"/>
        <v>0</v>
      </c>
      <c r="CJ41" s="955">
        <f t="shared" si="44"/>
        <v>0</v>
      </c>
      <c r="CK41" s="954"/>
      <c r="CL41" s="964"/>
      <c r="CM41" s="965" t="s">
        <v>608</v>
      </c>
      <c r="CN41" s="966">
        <f t="shared" si="45"/>
        <v>0</v>
      </c>
      <c r="CO41" s="965" t="s">
        <v>609</v>
      </c>
      <c r="CP41" s="966">
        <f t="shared" si="46"/>
        <v>0</v>
      </c>
      <c r="CQ41" s="965" t="s">
        <v>610</v>
      </c>
      <c r="CR41" s="956">
        <f t="shared" si="47"/>
        <v>0</v>
      </c>
      <c r="CS41" s="964">
        <f t="shared" si="0"/>
        <v>0</v>
      </c>
      <c r="CT41" s="964"/>
      <c r="CU41" s="935"/>
      <c r="CV41" s="935"/>
      <c r="CW41" s="935"/>
      <c r="CX41" s="935"/>
      <c r="CY41" s="935"/>
      <c r="CZ41" s="935"/>
      <c r="DA41" s="935"/>
      <c r="DB41" s="935"/>
      <c r="DC41" s="935"/>
      <c r="DD41" s="935"/>
      <c r="DE41" s="935"/>
    </row>
    <row r="42" spans="1:109" s="3" customFormat="1" ht="12" hidden="1">
      <c r="A42" s="1">
        <v>30</v>
      </c>
      <c r="B42" s="80"/>
      <c r="E42" s="80"/>
      <c r="G42" s="80"/>
      <c r="I42" s="83"/>
      <c r="J42" s="35" t="str">
        <f t="shared" si="1"/>
        <v>.</v>
      </c>
      <c r="K42" s="83"/>
      <c r="L42" s="85"/>
      <c r="M42" s="80"/>
      <c r="N42" s="66"/>
      <c r="O42" s="593">
        <f t="shared" si="2"/>
        <v>0</v>
      </c>
      <c r="P42" s="66"/>
      <c r="Q42" s="80"/>
      <c r="R42" s="86">
        <f t="shared" si="3"/>
        <v>0</v>
      </c>
      <c r="S42" s="87"/>
      <c r="T42" s="38">
        <f t="shared" si="4"/>
        <v>0</v>
      </c>
      <c r="U42" s="969">
        <f t="shared" si="5"/>
        <v>0</v>
      </c>
      <c r="V42" s="38"/>
      <c r="W42" s="92"/>
      <c r="X42" s="93">
        <f t="shared" si="6"/>
        <v>0</v>
      </c>
      <c r="Y42" s="94"/>
      <c r="Z42" s="66"/>
      <c r="AA42" s="95"/>
      <c r="AC42" s="586">
        <f t="shared" si="7"/>
        <v>0</v>
      </c>
      <c r="AD42" s="37">
        <f t="shared" si="8"/>
        <v>0</v>
      </c>
      <c r="AE42" s="594"/>
      <c r="AF42" s="925"/>
      <c r="AG42" s="967">
        <f t="shared" si="9"/>
        <v>0</v>
      </c>
      <c r="AH42" s="968"/>
      <c r="AI42" s="969">
        <f t="shared" si="10"/>
        <v>0</v>
      </c>
      <c r="AJ42" s="595">
        <f t="shared" si="11"/>
        <v>0</v>
      </c>
      <c r="AK42" s="588">
        <f t="shared" si="12"/>
        <v>0</v>
      </c>
      <c r="AL42" s="595">
        <f t="shared" si="13"/>
        <v>0</v>
      </c>
      <c r="AM42" s="96"/>
      <c r="AN42" s="37"/>
      <c r="AO42" s="588">
        <f t="shared" si="14"/>
        <v>0</v>
      </c>
      <c r="AP42" s="37">
        <f t="shared" si="15"/>
        <v>0</v>
      </c>
      <c r="AQ42" s="883"/>
      <c r="AR42" s="37">
        <f t="shared" si="16"/>
        <v>0</v>
      </c>
      <c r="AS42" s="96"/>
      <c r="AT42" s="35" t="str">
        <f t="shared" si="17"/>
        <v>.</v>
      </c>
      <c r="AU42" s="96"/>
      <c r="AV42" s="37"/>
      <c r="AW42" s="588">
        <f t="shared" si="18"/>
        <v>0</v>
      </c>
      <c r="AX42" s="37">
        <f t="shared" si="19"/>
        <v>0</v>
      </c>
      <c r="AY42" s="588">
        <f>IF(PF!V36&gt;0,(CF42),0)</f>
        <v>0</v>
      </c>
      <c r="AZ42" s="37">
        <f t="shared" si="20"/>
        <v>0</v>
      </c>
      <c r="BA42" s="589">
        <f t="shared" si="21"/>
        <v>0</v>
      </c>
      <c r="BB42" s="37"/>
      <c r="BC42" s="587">
        <f t="shared" si="22"/>
        <v>0</v>
      </c>
      <c r="BD42" s="37">
        <f t="shared" si="23"/>
        <v>0</v>
      </c>
      <c r="BE42" s="979">
        <f t="shared" si="24"/>
        <v>0</v>
      </c>
      <c r="BF42" s="86">
        <f t="shared" si="25"/>
        <v>0</v>
      </c>
      <c r="BG42" s="953">
        <f>(BE42-BC42)*'E S'!$F$47</f>
        <v>0</v>
      </c>
      <c r="BH42" s="954"/>
      <c r="BI42" s="953">
        <f t="shared" si="26"/>
        <v>0</v>
      </c>
      <c r="BJ42" s="955"/>
      <c r="BK42" s="953">
        <f t="shared" si="27"/>
        <v>0</v>
      </c>
      <c r="BL42" s="955">
        <f t="shared" si="28"/>
        <v>0</v>
      </c>
      <c r="BM42" s="954"/>
      <c r="BN42" s="954"/>
      <c r="BO42" s="954"/>
      <c r="BP42" s="954">
        <v>1</v>
      </c>
      <c r="BQ42" s="956">
        <f t="shared" si="29"/>
        <v>0</v>
      </c>
      <c r="BR42" s="954">
        <v>2</v>
      </c>
      <c r="BS42" s="956">
        <f t="shared" si="30"/>
        <v>0</v>
      </c>
      <c r="BT42" s="954">
        <v>3</v>
      </c>
      <c r="BU42" s="956">
        <f t="shared" si="31"/>
        <v>0</v>
      </c>
      <c r="BV42" s="954">
        <v>4</v>
      </c>
      <c r="BW42" s="956">
        <f t="shared" si="32"/>
        <v>0</v>
      </c>
      <c r="BX42" s="954">
        <v>5</v>
      </c>
      <c r="BY42" s="956">
        <f t="shared" si="33"/>
        <v>0</v>
      </c>
      <c r="BZ42" s="954">
        <f t="shared" si="34"/>
        <v>0</v>
      </c>
      <c r="CA42" s="957">
        <f t="shared" si="35"/>
        <v>0</v>
      </c>
      <c r="CB42" s="957">
        <f t="shared" si="36"/>
        <v>0</v>
      </c>
      <c r="CC42" s="954">
        <f t="shared" si="37"/>
        <v>0</v>
      </c>
      <c r="CD42" s="958">
        <f t="shared" si="38"/>
        <v>0</v>
      </c>
      <c r="CE42" s="959">
        <f t="shared" si="39"/>
        <v>0</v>
      </c>
      <c r="CF42" s="960">
        <f t="shared" si="40"/>
        <v>0</v>
      </c>
      <c r="CG42" s="960">
        <f t="shared" si="41"/>
        <v>0</v>
      </c>
      <c r="CH42" s="960">
        <f t="shared" si="42"/>
        <v>0</v>
      </c>
      <c r="CI42" s="955">
        <f t="shared" si="43"/>
        <v>0</v>
      </c>
      <c r="CJ42" s="955">
        <f t="shared" si="44"/>
        <v>0</v>
      </c>
      <c r="CK42" s="954"/>
      <c r="CL42" s="964"/>
      <c r="CM42" s="965" t="s">
        <v>608</v>
      </c>
      <c r="CN42" s="966">
        <f t="shared" si="45"/>
        <v>0</v>
      </c>
      <c r="CO42" s="965" t="s">
        <v>609</v>
      </c>
      <c r="CP42" s="966">
        <f t="shared" si="46"/>
        <v>0</v>
      </c>
      <c r="CQ42" s="965" t="s">
        <v>610</v>
      </c>
      <c r="CR42" s="956">
        <f t="shared" si="47"/>
        <v>0</v>
      </c>
      <c r="CS42" s="964">
        <f t="shared" si="0"/>
        <v>0</v>
      </c>
      <c r="CT42" s="964"/>
      <c r="CU42" s="935"/>
      <c r="CV42" s="935"/>
      <c r="CW42" s="935"/>
      <c r="CX42" s="935"/>
      <c r="CY42" s="935"/>
      <c r="CZ42" s="935"/>
      <c r="DA42" s="935"/>
      <c r="DB42" s="935"/>
      <c r="DC42" s="935"/>
      <c r="DD42" s="935"/>
      <c r="DE42" s="935"/>
    </row>
    <row r="43" spans="1:109" s="3" customFormat="1" ht="12" hidden="1">
      <c r="A43" s="1">
        <v>31</v>
      </c>
      <c r="B43" s="80"/>
      <c r="E43" s="80"/>
      <c r="G43" s="80"/>
      <c r="I43" s="83"/>
      <c r="J43" s="35" t="str">
        <f t="shared" si="1"/>
        <v>.</v>
      </c>
      <c r="K43" s="83"/>
      <c r="L43" s="85"/>
      <c r="M43" s="80"/>
      <c r="N43" s="66"/>
      <c r="O43" s="593">
        <f t="shared" si="2"/>
        <v>0</v>
      </c>
      <c r="P43" s="66"/>
      <c r="Q43" s="90"/>
      <c r="R43" s="86">
        <f t="shared" si="3"/>
        <v>0</v>
      </c>
      <c r="S43" s="87"/>
      <c r="T43" s="38">
        <f t="shared" si="4"/>
        <v>0</v>
      </c>
      <c r="U43" s="969">
        <f t="shared" si="5"/>
        <v>0</v>
      </c>
      <c r="V43" s="38"/>
      <c r="W43" s="92"/>
      <c r="X43" s="93">
        <f t="shared" si="6"/>
        <v>0</v>
      </c>
      <c r="Y43" s="94"/>
      <c r="Z43" s="66"/>
      <c r="AA43" s="95"/>
      <c r="AC43" s="586">
        <f t="shared" si="7"/>
        <v>0</v>
      </c>
      <c r="AD43" s="37">
        <f t="shared" si="8"/>
        <v>0</v>
      </c>
      <c r="AE43" s="594"/>
      <c r="AF43" s="925"/>
      <c r="AG43" s="967">
        <f t="shared" si="9"/>
        <v>0</v>
      </c>
      <c r="AH43" s="968"/>
      <c r="AI43" s="969">
        <f t="shared" si="10"/>
        <v>0</v>
      </c>
      <c r="AJ43" s="595">
        <f t="shared" si="11"/>
        <v>0</v>
      </c>
      <c r="AK43" s="588">
        <f t="shared" si="12"/>
        <v>0</v>
      </c>
      <c r="AL43" s="595">
        <f t="shared" si="13"/>
        <v>0</v>
      </c>
      <c r="AM43" s="96"/>
      <c r="AN43" s="37"/>
      <c r="AO43" s="588">
        <f t="shared" si="14"/>
        <v>0</v>
      </c>
      <c r="AP43" s="37">
        <f t="shared" si="15"/>
        <v>0</v>
      </c>
      <c r="AQ43" s="883"/>
      <c r="AR43" s="37">
        <f t="shared" si="16"/>
        <v>0</v>
      </c>
      <c r="AS43" s="96"/>
      <c r="AT43" s="35" t="str">
        <f t="shared" si="17"/>
        <v>.</v>
      </c>
      <c r="AU43" s="96"/>
      <c r="AV43" s="37"/>
      <c r="AW43" s="588">
        <f t="shared" si="18"/>
        <v>0</v>
      </c>
      <c r="AX43" s="37">
        <f t="shared" si="19"/>
        <v>0</v>
      </c>
      <c r="AY43" s="588">
        <f>IF(PF!V37&gt;0,(CF43),0)</f>
        <v>0</v>
      </c>
      <c r="AZ43" s="37">
        <f t="shared" si="20"/>
        <v>0</v>
      </c>
      <c r="BA43" s="589">
        <f t="shared" si="21"/>
        <v>0</v>
      </c>
      <c r="BB43" s="37"/>
      <c r="BC43" s="587">
        <f t="shared" si="22"/>
        <v>0</v>
      </c>
      <c r="BD43" s="37">
        <f t="shared" si="23"/>
        <v>0</v>
      </c>
      <c r="BE43" s="979">
        <f t="shared" si="24"/>
        <v>0</v>
      </c>
      <c r="BF43" s="86">
        <f t="shared" si="25"/>
        <v>0</v>
      </c>
      <c r="BG43" s="953">
        <f>(BE43-BC43)*'E S'!$F$47</f>
        <v>0</v>
      </c>
      <c r="BH43" s="954"/>
      <c r="BI43" s="953">
        <f t="shared" si="26"/>
        <v>0</v>
      </c>
      <c r="BJ43" s="955"/>
      <c r="BK43" s="953">
        <f t="shared" si="27"/>
        <v>0</v>
      </c>
      <c r="BL43" s="955">
        <f t="shared" si="28"/>
        <v>0</v>
      </c>
      <c r="BM43" s="954"/>
      <c r="BN43" s="954"/>
      <c r="BO43" s="954"/>
      <c r="BP43" s="954">
        <v>1</v>
      </c>
      <c r="BQ43" s="956">
        <f t="shared" si="29"/>
        <v>0</v>
      </c>
      <c r="BR43" s="954">
        <v>2</v>
      </c>
      <c r="BS43" s="956">
        <f t="shared" si="30"/>
        <v>0</v>
      </c>
      <c r="BT43" s="954">
        <v>3</v>
      </c>
      <c r="BU43" s="956">
        <f t="shared" si="31"/>
        <v>0</v>
      </c>
      <c r="BV43" s="954">
        <v>4</v>
      </c>
      <c r="BW43" s="956">
        <f t="shared" si="32"/>
        <v>0</v>
      </c>
      <c r="BX43" s="954">
        <v>5</v>
      </c>
      <c r="BY43" s="956">
        <f t="shared" si="33"/>
        <v>0</v>
      </c>
      <c r="BZ43" s="954">
        <f t="shared" si="34"/>
        <v>0</v>
      </c>
      <c r="CA43" s="957">
        <f t="shared" si="35"/>
        <v>0</v>
      </c>
      <c r="CB43" s="957">
        <f t="shared" si="36"/>
        <v>0</v>
      </c>
      <c r="CC43" s="954">
        <f t="shared" si="37"/>
        <v>0</v>
      </c>
      <c r="CD43" s="958">
        <f t="shared" si="38"/>
        <v>0</v>
      </c>
      <c r="CE43" s="959">
        <f t="shared" si="39"/>
        <v>0</v>
      </c>
      <c r="CF43" s="960">
        <f t="shared" si="40"/>
        <v>0</v>
      </c>
      <c r="CG43" s="960">
        <f t="shared" si="41"/>
        <v>0</v>
      </c>
      <c r="CH43" s="960">
        <f t="shared" si="42"/>
        <v>0</v>
      </c>
      <c r="CI43" s="955">
        <f t="shared" si="43"/>
        <v>0</v>
      </c>
      <c r="CJ43" s="955">
        <f t="shared" si="44"/>
        <v>0</v>
      </c>
      <c r="CK43" s="954"/>
      <c r="CL43" s="964"/>
      <c r="CM43" s="965" t="s">
        <v>608</v>
      </c>
      <c r="CN43" s="966">
        <f t="shared" si="45"/>
        <v>0</v>
      </c>
      <c r="CO43" s="965" t="s">
        <v>609</v>
      </c>
      <c r="CP43" s="966">
        <f t="shared" si="46"/>
        <v>0</v>
      </c>
      <c r="CQ43" s="965" t="s">
        <v>610</v>
      </c>
      <c r="CR43" s="956">
        <f t="shared" si="47"/>
        <v>0</v>
      </c>
      <c r="CS43" s="964">
        <f t="shared" si="0"/>
        <v>0</v>
      </c>
      <c r="CT43" s="964"/>
      <c r="CU43" s="935"/>
      <c r="CV43" s="935"/>
      <c r="CW43" s="935"/>
      <c r="CX43" s="935"/>
      <c r="CY43" s="935"/>
      <c r="CZ43" s="935"/>
      <c r="DA43" s="935"/>
      <c r="DB43" s="935"/>
      <c r="DC43" s="935"/>
      <c r="DD43" s="935"/>
      <c r="DE43" s="935"/>
    </row>
    <row r="44" spans="1:109" s="3" customFormat="1" ht="12" hidden="1">
      <c r="A44" s="1">
        <v>32</v>
      </c>
      <c r="B44" s="80"/>
      <c r="E44" s="80"/>
      <c r="G44" s="80"/>
      <c r="I44" s="83"/>
      <c r="J44" s="35" t="str">
        <f t="shared" si="1"/>
        <v>.</v>
      </c>
      <c r="K44" s="83"/>
      <c r="L44" s="85"/>
      <c r="M44" s="80"/>
      <c r="N44" s="66"/>
      <c r="O44" s="593">
        <f t="shared" si="2"/>
        <v>0</v>
      </c>
      <c r="P44" s="66"/>
      <c r="Q44" s="80"/>
      <c r="R44" s="86">
        <f t="shared" si="3"/>
        <v>0</v>
      </c>
      <c r="S44" s="87"/>
      <c r="T44" s="38">
        <f t="shared" si="4"/>
        <v>0</v>
      </c>
      <c r="U44" s="969">
        <f t="shared" si="5"/>
        <v>0</v>
      </c>
      <c r="V44" s="38"/>
      <c r="W44" s="92"/>
      <c r="X44" s="93">
        <f t="shared" si="6"/>
        <v>0</v>
      </c>
      <c r="Y44" s="94"/>
      <c r="Z44" s="66"/>
      <c r="AA44" s="95"/>
      <c r="AC44" s="586">
        <f t="shared" si="7"/>
        <v>0</v>
      </c>
      <c r="AD44" s="37">
        <f t="shared" si="8"/>
        <v>0</v>
      </c>
      <c r="AE44" s="594"/>
      <c r="AF44" s="925"/>
      <c r="AG44" s="967">
        <f t="shared" si="9"/>
        <v>0</v>
      </c>
      <c r="AH44" s="968"/>
      <c r="AI44" s="969">
        <f t="shared" si="10"/>
        <v>0</v>
      </c>
      <c r="AJ44" s="595">
        <f t="shared" si="11"/>
        <v>0</v>
      </c>
      <c r="AK44" s="588">
        <f t="shared" si="12"/>
        <v>0</v>
      </c>
      <c r="AL44" s="595">
        <f t="shared" si="13"/>
        <v>0</v>
      </c>
      <c r="AM44" s="96"/>
      <c r="AN44" s="37"/>
      <c r="AO44" s="588">
        <f t="shared" si="14"/>
        <v>0</v>
      </c>
      <c r="AP44" s="37">
        <f t="shared" si="15"/>
        <v>0</v>
      </c>
      <c r="AQ44" s="883"/>
      <c r="AR44" s="37">
        <f t="shared" si="16"/>
        <v>0</v>
      </c>
      <c r="AS44" s="96"/>
      <c r="AT44" s="35" t="str">
        <f t="shared" si="17"/>
        <v>.</v>
      </c>
      <c r="AU44" s="96"/>
      <c r="AV44" s="37"/>
      <c r="AW44" s="588">
        <f t="shared" si="18"/>
        <v>0</v>
      </c>
      <c r="AX44" s="37">
        <f t="shared" si="19"/>
        <v>0</v>
      </c>
      <c r="AY44" s="588">
        <f>IF(PF!V38&gt;0,(CF44),0)</f>
        <v>0</v>
      </c>
      <c r="AZ44" s="37">
        <f t="shared" si="20"/>
        <v>0</v>
      </c>
      <c r="BA44" s="589">
        <f t="shared" si="21"/>
        <v>0</v>
      </c>
      <c r="BB44" s="37"/>
      <c r="BC44" s="587">
        <f t="shared" si="22"/>
        <v>0</v>
      </c>
      <c r="BD44" s="37">
        <f t="shared" si="23"/>
        <v>0</v>
      </c>
      <c r="BE44" s="979">
        <f t="shared" si="24"/>
        <v>0</v>
      </c>
      <c r="BF44" s="86">
        <f t="shared" si="25"/>
        <v>0</v>
      </c>
      <c r="BG44" s="953">
        <f>(BE44-BC44)*'E S'!$F$47</f>
        <v>0</v>
      </c>
      <c r="BH44" s="954"/>
      <c r="BI44" s="953">
        <f t="shared" si="26"/>
        <v>0</v>
      </c>
      <c r="BJ44" s="955"/>
      <c r="BK44" s="953">
        <f t="shared" si="27"/>
        <v>0</v>
      </c>
      <c r="BL44" s="955">
        <f t="shared" si="28"/>
        <v>0</v>
      </c>
      <c r="BM44" s="954"/>
      <c r="BN44" s="954"/>
      <c r="BO44" s="954"/>
      <c r="BP44" s="954">
        <v>1</v>
      </c>
      <c r="BQ44" s="956">
        <f t="shared" si="29"/>
        <v>0</v>
      </c>
      <c r="BR44" s="954">
        <v>2</v>
      </c>
      <c r="BS44" s="956">
        <f t="shared" si="30"/>
        <v>0</v>
      </c>
      <c r="BT44" s="954">
        <v>3</v>
      </c>
      <c r="BU44" s="956">
        <f t="shared" si="31"/>
        <v>0</v>
      </c>
      <c r="BV44" s="954">
        <v>4</v>
      </c>
      <c r="BW44" s="956">
        <f t="shared" si="32"/>
        <v>0</v>
      </c>
      <c r="BX44" s="954">
        <v>5</v>
      </c>
      <c r="BY44" s="956">
        <f t="shared" si="33"/>
        <v>0</v>
      </c>
      <c r="BZ44" s="954">
        <f t="shared" si="34"/>
        <v>0</v>
      </c>
      <c r="CA44" s="957">
        <f t="shared" si="35"/>
        <v>0</v>
      </c>
      <c r="CB44" s="957">
        <f t="shared" si="36"/>
        <v>0</v>
      </c>
      <c r="CC44" s="954">
        <f t="shared" si="37"/>
        <v>0</v>
      </c>
      <c r="CD44" s="958">
        <f t="shared" si="38"/>
        <v>0</v>
      </c>
      <c r="CE44" s="959">
        <f t="shared" si="39"/>
        <v>0</v>
      </c>
      <c r="CF44" s="960">
        <f t="shared" si="40"/>
        <v>0</v>
      </c>
      <c r="CG44" s="960">
        <f t="shared" si="41"/>
        <v>0</v>
      </c>
      <c r="CH44" s="960">
        <f t="shared" si="42"/>
        <v>0</v>
      </c>
      <c r="CI44" s="955">
        <f t="shared" si="43"/>
        <v>0</v>
      </c>
      <c r="CJ44" s="955">
        <f t="shared" si="44"/>
        <v>0</v>
      </c>
      <c r="CK44" s="954"/>
      <c r="CL44" s="964"/>
      <c r="CM44" s="965" t="s">
        <v>608</v>
      </c>
      <c r="CN44" s="966">
        <f t="shared" si="45"/>
        <v>0</v>
      </c>
      <c r="CO44" s="965" t="s">
        <v>609</v>
      </c>
      <c r="CP44" s="966">
        <f t="shared" si="46"/>
        <v>0</v>
      </c>
      <c r="CQ44" s="965" t="s">
        <v>610</v>
      </c>
      <c r="CR44" s="956">
        <f t="shared" si="47"/>
        <v>0</v>
      </c>
      <c r="CS44" s="964">
        <f t="shared" si="0"/>
        <v>0</v>
      </c>
      <c r="CT44" s="964"/>
      <c r="CU44" s="935"/>
      <c r="CV44" s="935"/>
      <c r="CW44" s="935"/>
      <c r="CX44" s="935"/>
      <c r="CY44" s="935"/>
      <c r="CZ44" s="935"/>
      <c r="DA44" s="935"/>
      <c r="DB44" s="935"/>
      <c r="DC44" s="935"/>
      <c r="DD44" s="935"/>
      <c r="DE44" s="935"/>
    </row>
    <row r="45" spans="1:109" s="3" customFormat="1" ht="12" hidden="1">
      <c r="A45" s="1">
        <v>33</v>
      </c>
      <c r="B45" s="80"/>
      <c r="E45" s="80"/>
      <c r="G45" s="80"/>
      <c r="I45" s="82"/>
      <c r="J45" s="35" t="str">
        <f t="shared" si="1"/>
        <v>.</v>
      </c>
      <c r="K45" s="83"/>
      <c r="L45" s="85"/>
      <c r="M45" s="80"/>
      <c r="N45" s="66"/>
      <c r="O45" s="593">
        <f t="shared" si="2"/>
        <v>0</v>
      </c>
      <c r="P45" s="66"/>
      <c r="Q45" s="80"/>
      <c r="R45" s="86">
        <f t="shared" si="3"/>
        <v>0</v>
      </c>
      <c r="S45" s="87"/>
      <c r="T45" s="38">
        <f t="shared" si="4"/>
        <v>0</v>
      </c>
      <c r="U45" s="969">
        <f t="shared" si="5"/>
        <v>0</v>
      </c>
      <c r="V45" s="38"/>
      <c r="W45" s="92"/>
      <c r="X45" s="93">
        <f t="shared" si="6"/>
        <v>0</v>
      </c>
      <c r="Y45" s="94"/>
      <c r="Z45" s="66"/>
      <c r="AA45" s="95"/>
      <c r="AC45" s="586">
        <f t="shared" si="7"/>
        <v>0</v>
      </c>
      <c r="AD45" s="37">
        <f t="shared" si="8"/>
        <v>0</v>
      </c>
      <c r="AE45" s="594"/>
      <c r="AF45" s="925"/>
      <c r="AG45" s="967">
        <f t="shared" si="9"/>
        <v>0</v>
      </c>
      <c r="AH45" s="968"/>
      <c r="AI45" s="969">
        <f t="shared" si="10"/>
        <v>0</v>
      </c>
      <c r="AJ45" s="595">
        <f t="shared" si="11"/>
        <v>0</v>
      </c>
      <c r="AK45" s="588">
        <f t="shared" si="12"/>
        <v>0</v>
      </c>
      <c r="AL45" s="595">
        <f t="shared" si="13"/>
        <v>0</v>
      </c>
      <c r="AM45" s="96"/>
      <c r="AN45" s="37"/>
      <c r="AO45" s="588">
        <f t="shared" si="14"/>
        <v>0</v>
      </c>
      <c r="AP45" s="37">
        <f t="shared" si="15"/>
        <v>0</v>
      </c>
      <c r="AQ45" s="883"/>
      <c r="AR45" s="37">
        <f t="shared" si="16"/>
        <v>0</v>
      </c>
      <c r="AS45" s="96"/>
      <c r="AT45" s="35" t="str">
        <f t="shared" si="17"/>
        <v>.</v>
      </c>
      <c r="AU45" s="96"/>
      <c r="AV45" s="37"/>
      <c r="AW45" s="588">
        <f t="shared" si="18"/>
        <v>0</v>
      </c>
      <c r="AX45" s="37">
        <f t="shared" si="19"/>
        <v>0</v>
      </c>
      <c r="AY45" s="588">
        <f>IF(PF!V39&gt;0,(CF45),0)</f>
        <v>0</v>
      </c>
      <c r="AZ45" s="37">
        <f t="shared" si="20"/>
        <v>0</v>
      </c>
      <c r="BA45" s="589">
        <f t="shared" si="21"/>
        <v>0</v>
      </c>
      <c r="BB45" s="37"/>
      <c r="BC45" s="587">
        <f t="shared" si="22"/>
        <v>0</v>
      </c>
      <c r="BD45" s="37">
        <f t="shared" si="23"/>
        <v>0</v>
      </c>
      <c r="BE45" s="979">
        <f t="shared" si="24"/>
        <v>0</v>
      </c>
      <c r="BF45" s="86">
        <f t="shared" si="25"/>
        <v>0</v>
      </c>
      <c r="BG45" s="953">
        <f>(BE45-BC45)*'E S'!$F$47</f>
        <v>0</v>
      </c>
      <c r="BH45" s="954"/>
      <c r="BI45" s="953">
        <f t="shared" si="26"/>
        <v>0</v>
      </c>
      <c r="BJ45" s="955"/>
      <c r="BK45" s="953">
        <f t="shared" si="27"/>
        <v>0</v>
      </c>
      <c r="BL45" s="955">
        <f t="shared" si="28"/>
        <v>0</v>
      </c>
      <c r="BM45" s="954"/>
      <c r="BN45" s="954"/>
      <c r="BO45" s="954"/>
      <c r="BP45" s="954">
        <v>1</v>
      </c>
      <c r="BQ45" s="956">
        <f t="shared" si="29"/>
        <v>0</v>
      </c>
      <c r="BR45" s="954">
        <v>2</v>
      </c>
      <c r="BS45" s="956">
        <f t="shared" si="30"/>
        <v>0</v>
      </c>
      <c r="BT45" s="954">
        <v>3</v>
      </c>
      <c r="BU45" s="956">
        <f t="shared" si="31"/>
        <v>0</v>
      </c>
      <c r="BV45" s="954">
        <v>4</v>
      </c>
      <c r="BW45" s="956">
        <f t="shared" si="32"/>
        <v>0</v>
      </c>
      <c r="BX45" s="954">
        <v>5</v>
      </c>
      <c r="BY45" s="956">
        <f t="shared" si="33"/>
        <v>0</v>
      </c>
      <c r="BZ45" s="954">
        <f t="shared" si="34"/>
        <v>0</v>
      </c>
      <c r="CA45" s="957">
        <f t="shared" si="35"/>
        <v>0</v>
      </c>
      <c r="CB45" s="957">
        <f t="shared" si="36"/>
        <v>0</v>
      </c>
      <c r="CC45" s="954">
        <f t="shared" si="37"/>
        <v>0</v>
      </c>
      <c r="CD45" s="958">
        <f t="shared" si="38"/>
        <v>0</v>
      </c>
      <c r="CE45" s="959">
        <f t="shared" si="39"/>
        <v>0</v>
      </c>
      <c r="CF45" s="960">
        <f t="shared" si="40"/>
        <v>0</v>
      </c>
      <c r="CG45" s="960">
        <f t="shared" si="41"/>
        <v>0</v>
      </c>
      <c r="CH45" s="960">
        <f t="shared" si="42"/>
        <v>0</v>
      </c>
      <c r="CI45" s="955">
        <f t="shared" si="43"/>
        <v>0</v>
      </c>
      <c r="CJ45" s="955">
        <f t="shared" si="44"/>
        <v>0</v>
      </c>
      <c r="CK45" s="954"/>
      <c r="CL45" s="964"/>
      <c r="CM45" s="965" t="s">
        <v>608</v>
      </c>
      <c r="CN45" s="966">
        <f t="shared" si="45"/>
        <v>0</v>
      </c>
      <c r="CO45" s="965" t="s">
        <v>609</v>
      </c>
      <c r="CP45" s="966">
        <f t="shared" si="46"/>
        <v>0</v>
      </c>
      <c r="CQ45" s="965" t="s">
        <v>610</v>
      </c>
      <c r="CR45" s="956">
        <f t="shared" si="47"/>
        <v>0</v>
      </c>
      <c r="CS45" s="964">
        <f t="shared" si="0"/>
        <v>0</v>
      </c>
      <c r="CT45" s="964"/>
      <c r="CU45" s="935"/>
      <c r="CV45" s="935"/>
      <c r="CW45" s="935"/>
      <c r="CX45" s="935"/>
      <c r="CY45" s="935"/>
      <c r="CZ45" s="935"/>
      <c r="DA45" s="935"/>
      <c r="DB45" s="935"/>
      <c r="DC45" s="935"/>
      <c r="DD45" s="935"/>
      <c r="DE45" s="935"/>
    </row>
    <row r="46" spans="1:109" s="3" customFormat="1" ht="12" hidden="1">
      <c r="A46" s="1">
        <v>34</v>
      </c>
      <c r="B46" s="80"/>
      <c r="E46" s="80"/>
      <c r="G46" s="80"/>
      <c r="I46" s="83"/>
      <c r="J46" s="35"/>
      <c r="K46" s="83"/>
      <c r="L46" s="85"/>
      <c r="M46" s="80"/>
      <c r="N46" s="66"/>
      <c r="O46" s="593">
        <f t="shared" si="2"/>
        <v>0</v>
      </c>
      <c r="P46" s="66"/>
      <c r="Q46" s="80"/>
      <c r="R46" s="86">
        <f t="shared" si="3"/>
        <v>0</v>
      </c>
      <c r="S46" s="87"/>
      <c r="T46" s="38">
        <f t="shared" si="4"/>
        <v>0</v>
      </c>
      <c r="U46" s="969">
        <f t="shared" si="5"/>
        <v>0</v>
      </c>
      <c r="V46" s="38"/>
      <c r="W46" s="92"/>
      <c r="X46" s="93">
        <f t="shared" si="6"/>
        <v>0</v>
      </c>
      <c r="Y46" s="94"/>
      <c r="Z46" s="66"/>
      <c r="AA46" s="95"/>
      <c r="AC46" s="586">
        <f t="shared" si="7"/>
        <v>0</v>
      </c>
      <c r="AD46" s="37">
        <f t="shared" si="8"/>
        <v>0</v>
      </c>
      <c r="AE46" s="594"/>
      <c r="AF46" s="925"/>
      <c r="AG46" s="967">
        <f t="shared" si="9"/>
        <v>0</v>
      </c>
      <c r="AH46" s="968"/>
      <c r="AI46" s="969">
        <f t="shared" si="10"/>
        <v>0</v>
      </c>
      <c r="AJ46" s="595">
        <f t="shared" si="11"/>
        <v>0</v>
      </c>
      <c r="AK46" s="588">
        <f t="shared" si="12"/>
        <v>0</v>
      </c>
      <c r="AL46" s="595">
        <f t="shared" si="13"/>
        <v>0</v>
      </c>
      <c r="AM46" s="96"/>
      <c r="AN46" s="37"/>
      <c r="AO46" s="588">
        <f t="shared" si="14"/>
        <v>0</v>
      </c>
      <c r="AP46" s="37">
        <f t="shared" si="15"/>
        <v>0</v>
      </c>
      <c r="AQ46" s="883"/>
      <c r="AR46" s="37">
        <f t="shared" si="16"/>
        <v>0</v>
      </c>
      <c r="AS46" s="96"/>
      <c r="AT46" s="35" t="str">
        <f t="shared" si="17"/>
        <v>.</v>
      </c>
      <c r="AU46" s="96"/>
      <c r="AV46" s="37"/>
      <c r="AW46" s="588">
        <f t="shared" si="18"/>
        <v>0</v>
      </c>
      <c r="AX46" s="37">
        <f t="shared" si="19"/>
        <v>0</v>
      </c>
      <c r="AY46" s="588">
        <f>IF(PF!V40&gt;0,(CF46),0)</f>
        <v>0</v>
      </c>
      <c r="AZ46" s="37">
        <f t="shared" si="20"/>
        <v>0</v>
      </c>
      <c r="BA46" s="589">
        <f t="shared" si="21"/>
        <v>0</v>
      </c>
      <c r="BB46" s="37"/>
      <c r="BC46" s="587">
        <f t="shared" si="22"/>
        <v>0</v>
      </c>
      <c r="BD46" s="37">
        <f t="shared" si="23"/>
        <v>0</v>
      </c>
      <c r="BE46" s="979">
        <f t="shared" si="24"/>
        <v>0</v>
      </c>
      <c r="BF46" s="86">
        <f t="shared" si="25"/>
        <v>0</v>
      </c>
      <c r="BG46" s="953">
        <f>(BE46-BC46)*'E S'!$F$47</f>
        <v>0</v>
      </c>
      <c r="BH46" s="954"/>
      <c r="BI46" s="953">
        <f t="shared" si="26"/>
        <v>0</v>
      </c>
      <c r="BJ46" s="955"/>
      <c r="BK46" s="953">
        <f t="shared" si="27"/>
        <v>0</v>
      </c>
      <c r="BL46" s="955">
        <f t="shared" si="28"/>
        <v>0</v>
      </c>
      <c r="BM46" s="954"/>
      <c r="BN46" s="954"/>
      <c r="BO46" s="954"/>
      <c r="BP46" s="954">
        <v>1</v>
      </c>
      <c r="BQ46" s="956">
        <f t="shared" si="29"/>
        <v>0</v>
      </c>
      <c r="BR46" s="954">
        <v>2</v>
      </c>
      <c r="BS46" s="956">
        <f t="shared" si="30"/>
        <v>0</v>
      </c>
      <c r="BT46" s="954">
        <v>3</v>
      </c>
      <c r="BU46" s="956">
        <f t="shared" si="31"/>
        <v>0</v>
      </c>
      <c r="BV46" s="954">
        <v>4</v>
      </c>
      <c r="BW46" s="956">
        <f t="shared" si="32"/>
        <v>0</v>
      </c>
      <c r="BX46" s="954">
        <v>5</v>
      </c>
      <c r="BY46" s="956">
        <f t="shared" si="33"/>
        <v>0</v>
      </c>
      <c r="BZ46" s="954">
        <f t="shared" si="34"/>
        <v>0</v>
      </c>
      <c r="CA46" s="957">
        <f t="shared" si="35"/>
        <v>0</v>
      </c>
      <c r="CB46" s="957">
        <f t="shared" si="36"/>
        <v>0</v>
      </c>
      <c r="CC46" s="954">
        <f t="shared" si="37"/>
        <v>0</v>
      </c>
      <c r="CD46" s="958">
        <f t="shared" si="38"/>
        <v>0</v>
      </c>
      <c r="CE46" s="959">
        <f t="shared" si="39"/>
        <v>0</v>
      </c>
      <c r="CF46" s="960">
        <f t="shared" si="40"/>
        <v>0</v>
      </c>
      <c r="CG46" s="960">
        <f t="shared" si="41"/>
        <v>0</v>
      </c>
      <c r="CH46" s="960">
        <f t="shared" si="42"/>
        <v>0</v>
      </c>
      <c r="CI46" s="955">
        <f t="shared" si="43"/>
        <v>0</v>
      </c>
      <c r="CJ46" s="955">
        <f t="shared" si="44"/>
        <v>0</v>
      </c>
      <c r="CK46" s="954"/>
      <c r="CL46" s="964"/>
      <c r="CM46" s="965" t="s">
        <v>608</v>
      </c>
      <c r="CN46" s="966">
        <f t="shared" si="45"/>
        <v>0</v>
      </c>
      <c r="CO46" s="965" t="s">
        <v>609</v>
      </c>
      <c r="CP46" s="966">
        <f t="shared" si="46"/>
        <v>0</v>
      </c>
      <c r="CQ46" s="965" t="s">
        <v>610</v>
      </c>
      <c r="CR46" s="956">
        <f t="shared" si="47"/>
        <v>0</v>
      </c>
      <c r="CS46" s="964">
        <f t="shared" si="0"/>
        <v>0</v>
      </c>
      <c r="CT46" s="964"/>
      <c r="CU46" s="935"/>
      <c r="CV46" s="935"/>
      <c r="CW46" s="935"/>
      <c r="CX46" s="935"/>
      <c r="CY46" s="935"/>
      <c r="CZ46" s="935"/>
      <c r="DA46" s="935"/>
      <c r="DB46" s="935"/>
      <c r="DC46" s="935"/>
      <c r="DD46" s="935"/>
      <c r="DE46" s="935"/>
    </row>
    <row r="47" spans="1:109" s="3" customFormat="1" ht="12" hidden="1">
      <c r="A47" s="1">
        <v>35</v>
      </c>
      <c r="B47" s="80"/>
      <c r="E47" s="80"/>
      <c r="G47" s="80"/>
      <c r="I47" s="83"/>
      <c r="J47" s="35" t="str">
        <f t="shared" si="1"/>
        <v>.</v>
      </c>
      <c r="K47" s="83"/>
      <c r="L47" s="85"/>
      <c r="M47" s="80"/>
      <c r="N47" s="66"/>
      <c r="O47" s="593">
        <f t="shared" si="2"/>
        <v>0</v>
      </c>
      <c r="P47" s="66"/>
      <c r="Q47" s="90"/>
      <c r="R47" s="86">
        <f t="shared" si="3"/>
        <v>0</v>
      </c>
      <c r="S47" s="87"/>
      <c r="T47" s="38">
        <f t="shared" si="4"/>
        <v>0</v>
      </c>
      <c r="U47" s="969">
        <f t="shared" si="5"/>
        <v>0</v>
      </c>
      <c r="V47" s="38"/>
      <c r="W47" s="92"/>
      <c r="X47" s="93">
        <f t="shared" si="6"/>
        <v>0</v>
      </c>
      <c r="Y47" s="94"/>
      <c r="Z47" s="66"/>
      <c r="AA47" s="95"/>
      <c r="AC47" s="586">
        <f t="shared" si="7"/>
        <v>0</v>
      </c>
      <c r="AD47" s="37">
        <f t="shared" si="8"/>
        <v>0</v>
      </c>
      <c r="AE47" s="594"/>
      <c r="AF47" s="925"/>
      <c r="AG47" s="967">
        <f t="shared" si="9"/>
        <v>0</v>
      </c>
      <c r="AH47" s="968"/>
      <c r="AI47" s="969">
        <f t="shared" si="10"/>
        <v>0</v>
      </c>
      <c r="AJ47" s="595">
        <f t="shared" si="11"/>
        <v>0</v>
      </c>
      <c r="AK47" s="588">
        <f t="shared" si="12"/>
        <v>0</v>
      </c>
      <c r="AL47" s="595">
        <f t="shared" si="13"/>
        <v>0</v>
      </c>
      <c r="AM47" s="96"/>
      <c r="AN47" s="37"/>
      <c r="AO47" s="588">
        <f t="shared" si="14"/>
        <v>0</v>
      </c>
      <c r="AP47" s="37">
        <f t="shared" si="15"/>
        <v>0</v>
      </c>
      <c r="AQ47" s="883"/>
      <c r="AR47" s="37">
        <f t="shared" si="16"/>
        <v>0</v>
      </c>
      <c r="AS47" s="96"/>
      <c r="AT47" s="35" t="str">
        <f t="shared" si="17"/>
        <v>.</v>
      </c>
      <c r="AU47" s="96"/>
      <c r="AV47" s="37"/>
      <c r="AW47" s="588">
        <f t="shared" si="18"/>
        <v>0</v>
      </c>
      <c r="AX47" s="37">
        <f t="shared" si="19"/>
        <v>0</v>
      </c>
      <c r="AY47" s="588">
        <f>IF(PF!V41&gt;0,(CF47),0)</f>
        <v>0</v>
      </c>
      <c r="AZ47" s="37">
        <f t="shared" si="20"/>
        <v>0</v>
      </c>
      <c r="BA47" s="589">
        <f t="shared" si="21"/>
        <v>0</v>
      </c>
      <c r="BB47" s="37"/>
      <c r="BC47" s="587">
        <f t="shared" si="22"/>
        <v>0</v>
      </c>
      <c r="BD47" s="37">
        <f t="shared" si="23"/>
        <v>0</v>
      </c>
      <c r="BE47" s="979">
        <f t="shared" si="24"/>
        <v>0</v>
      </c>
      <c r="BF47" s="86">
        <f t="shared" si="25"/>
        <v>0</v>
      </c>
      <c r="BG47" s="953">
        <f>(BE47-BC47)*'E S'!$F$47</f>
        <v>0</v>
      </c>
      <c r="BH47" s="954"/>
      <c r="BI47" s="953">
        <f t="shared" si="26"/>
        <v>0</v>
      </c>
      <c r="BJ47" s="955"/>
      <c r="BK47" s="953">
        <f t="shared" si="27"/>
        <v>0</v>
      </c>
      <c r="BL47" s="955">
        <f t="shared" si="28"/>
        <v>0</v>
      </c>
      <c r="BM47" s="954"/>
      <c r="BN47" s="954"/>
      <c r="BO47" s="954"/>
      <c r="BP47" s="954">
        <v>1</v>
      </c>
      <c r="BQ47" s="956">
        <f t="shared" si="29"/>
        <v>0</v>
      </c>
      <c r="BR47" s="954">
        <v>2</v>
      </c>
      <c r="BS47" s="956">
        <f t="shared" si="30"/>
        <v>0</v>
      </c>
      <c r="BT47" s="954">
        <v>3</v>
      </c>
      <c r="BU47" s="956">
        <f t="shared" si="31"/>
        <v>0</v>
      </c>
      <c r="BV47" s="954">
        <v>4</v>
      </c>
      <c r="BW47" s="956">
        <f t="shared" si="32"/>
        <v>0</v>
      </c>
      <c r="BX47" s="954">
        <v>5</v>
      </c>
      <c r="BY47" s="956">
        <f t="shared" si="33"/>
        <v>0</v>
      </c>
      <c r="BZ47" s="954">
        <f t="shared" si="34"/>
        <v>0</v>
      </c>
      <c r="CA47" s="957">
        <f t="shared" si="35"/>
        <v>0</v>
      </c>
      <c r="CB47" s="957">
        <f t="shared" si="36"/>
        <v>0</v>
      </c>
      <c r="CC47" s="954">
        <f t="shared" si="37"/>
        <v>0</v>
      </c>
      <c r="CD47" s="958">
        <f t="shared" si="38"/>
        <v>0</v>
      </c>
      <c r="CE47" s="959">
        <f t="shared" si="39"/>
        <v>0</v>
      </c>
      <c r="CF47" s="960">
        <f t="shared" si="40"/>
        <v>0</v>
      </c>
      <c r="CG47" s="960">
        <f t="shared" si="41"/>
        <v>0</v>
      </c>
      <c r="CH47" s="960">
        <f t="shared" si="42"/>
        <v>0</v>
      </c>
      <c r="CI47" s="955">
        <f t="shared" si="43"/>
        <v>0</v>
      </c>
      <c r="CJ47" s="955">
        <f t="shared" si="44"/>
        <v>0</v>
      </c>
      <c r="CK47" s="954"/>
      <c r="CL47" s="964"/>
      <c r="CM47" s="965" t="s">
        <v>608</v>
      </c>
      <c r="CN47" s="966">
        <f t="shared" si="45"/>
        <v>0</v>
      </c>
      <c r="CO47" s="965" t="s">
        <v>609</v>
      </c>
      <c r="CP47" s="966">
        <f t="shared" si="46"/>
        <v>0</v>
      </c>
      <c r="CQ47" s="965" t="s">
        <v>610</v>
      </c>
      <c r="CR47" s="956">
        <f t="shared" si="47"/>
        <v>0</v>
      </c>
      <c r="CS47" s="964">
        <f t="shared" si="0"/>
        <v>0</v>
      </c>
      <c r="CT47" s="964"/>
      <c r="CU47" s="935"/>
      <c r="CV47" s="935"/>
      <c r="CW47" s="935"/>
      <c r="CX47" s="935"/>
      <c r="CY47" s="935"/>
      <c r="CZ47" s="935"/>
      <c r="DA47" s="935"/>
      <c r="DB47" s="935"/>
      <c r="DC47" s="935"/>
      <c r="DD47" s="935"/>
      <c r="DE47" s="935"/>
    </row>
    <row r="48" spans="1:109" s="3" customFormat="1" ht="12" hidden="1">
      <c r="A48" s="1">
        <v>36</v>
      </c>
      <c r="B48" s="80"/>
      <c r="E48" s="80"/>
      <c r="G48" s="80"/>
      <c r="I48" s="83"/>
      <c r="J48" s="35" t="str">
        <f t="shared" si="1"/>
        <v>.</v>
      </c>
      <c r="K48" s="83"/>
      <c r="L48" s="85"/>
      <c r="M48" s="80"/>
      <c r="N48" s="66"/>
      <c r="O48" s="593">
        <f t="shared" si="2"/>
        <v>0</v>
      </c>
      <c r="P48" s="66"/>
      <c r="Q48" s="90"/>
      <c r="R48" s="86">
        <f t="shared" si="3"/>
        <v>0</v>
      </c>
      <c r="S48" s="87"/>
      <c r="T48" s="38">
        <f t="shared" si="4"/>
        <v>0</v>
      </c>
      <c r="U48" s="969">
        <f t="shared" si="5"/>
        <v>0</v>
      </c>
      <c r="V48" s="38"/>
      <c r="W48" s="92"/>
      <c r="X48" s="93">
        <f t="shared" si="6"/>
        <v>0</v>
      </c>
      <c r="Y48" s="94"/>
      <c r="Z48" s="66"/>
      <c r="AA48" s="95"/>
      <c r="AC48" s="586">
        <f t="shared" si="7"/>
        <v>0</v>
      </c>
      <c r="AD48" s="37">
        <f t="shared" si="8"/>
        <v>0</v>
      </c>
      <c r="AE48" s="594"/>
      <c r="AF48" s="925"/>
      <c r="AG48" s="967">
        <f t="shared" si="9"/>
        <v>0</v>
      </c>
      <c r="AH48" s="968"/>
      <c r="AI48" s="969">
        <f t="shared" si="10"/>
        <v>0</v>
      </c>
      <c r="AJ48" s="595">
        <f t="shared" si="11"/>
        <v>0</v>
      </c>
      <c r="AK48" s="588">
        <f t="shared" si="12"/>
        <v>0</v>
      </c>
      <c r="AL48" s="595">
        <f t="shared" si="13"/>
        <v>0</v>
      </c>
      <c r="AM48" s="96"/>
      <c r="AN48" s="37"/>
      <c r="AO48" s="588">
        <f t="shared" si="14"/>
        <v>0</v>
      </c>
      <c r="AP48" s="37">
        <f t="shared" si="15"/>
        <v>0</v>
      </c>
      <c r="AQ48" s="883"/>
      <c r="AR48" s="37">
        <f t="shared" si="16"/>
        <v>0</v>
      </c>
      <c r="AS48" s="96"/>
      <c r="AT48" s="35" t="str">
        <f t="shared" si="17"/>
        <v>.</v>
      </c>
      <c r="AU48" s="96"/>
      <c r="AV48" s="37"/>
      <c r="AW48" s="588">
        <f t="shared" si="18"/>
        <v>0</v>
      </c>
      <c r="AX48" s="37">
        <f t="shared" si="19"/>
        <v>0</v>
      </c>
      <c r="AY48" s="588">
        <f>IF(PF!V42&gt;0,(CF48),0)</f>
        <v>0</v>
      </c>
      <c r="AZ48" s="37">
        <f t="shared" si="20"/>
        <v>0</v>
      </c>
      <c r="BA48" s="589">
        <f t="shared" si="21"/>
        <v>0</v>
      </c>
      <c r="BB48" s="37"/>
      <c r="BC48" s="587">
        <f t="shared" si="22"/>
        <v>0</v>
      </c>
      <c r="BD48" s="37">
        <f t="shared" si="23"/>
        <v>0</v>
      </c>
      <c r="BE48" s="979">
        <f t="shared" si="24"/>
        <v>0</v>
      </c>
      <c r="BF48" s="86">
        <f t="shared" si="25"/>
        <v>0</v>
      </c>
      <c r="BG48" s="953">
        <f>(BE48-BC48)*'E S'!$F$47</f>
        <v>0</v>
      </c>
      <c r="BH48" s="954"/>
      <c r="BI48" s="953">
        <f t="shared" si="26"/>
        <v>0</v>
      </c>
      <c r="BJ48" s="955"/>
      <c r="BK48" s="953">
        <f t="shared" si="27"/>
        <v>0</v>
      </c>
      <c r="BL48" s="955">
        <f t="shared" si="28"/>
        <v>0</v>
      </c>
      <c r="BM48" s="954"/>
      <c r="BN48" s="954"/>
      <c r="BO48" s="954"/>
      <c r="BP48" s="954">
        <v>1</v>
      </c>
      <c r="BQ48" s="956">
        <f t="shared" si="29"/>
        <v>0</v>
      </c>
      <c r="BR48" s="954">
        <v>2</v>
      </c>
      <c r="BS48" s="956">
        <f t="shared" si="30"/>
        <v>0</v>
      </c>
      <c r="BT48" s="954">
        <v>3</v>
      </c>
      <c r="BU48" s="956">
        <f>IF($E48&gt;0,(BQ48*$O$6)+BQ48,0)</f>
        <v>0</v>
      </c>
      <c r="BV48" s="954">
        <v>4</v>
      </c>
      <c r="BW48" s="956">
        <f t="shared" si="32"/>
        <v>0</v>
      </c>
      <c r="BX48" s="954">
        <v>5</v>
      </c>
      <c r="BY48" s="956">
        <f t="shared" si="33"/>
        <v>0</v>
      </c>
      <c r="BZ48" s="954">
        <f t="shared" si="34"/>
        <v>0</v>
      </c>
      <c r="CA48" s="957">
        <f t="shared" si="35"/>
        <v>0</v>
      </c>
      <c r="CB48" s="957">
        <f t="shared" si="36"/>
        <v>0</v>
      </c>
      <c r="CC48" s="954">
        <f t="shared" si="37"/>
        <v>0</v>
      </c>
      <c r="CD48" s="958">
        <f t="shared" si="38"/>
        <v>0</v>
      </c>
      <c r="CE48" s="959">
        <f t="shared" si="39"/>
        <v>0</v>
      </c>
      <c r="CF48" s="960">
        <f t="shared" si="40"/>
        <v>0</v>
      </c>
      <c r="CG48" s="960">
        <f t="shared" si="41"/>
        <v>0</v>
      </c>
      <c r="CH48" s="960">
        <f t="shared" si="42"/>
        <v>0</v>
      </c>
      <c r="CI48" s="955">
        <f t="shared" si="43"/>
        <v>0</v>
      </c>
      <c r="CJ48" s="955">
        <f t="shared" si="44"/>
        <v>0</v>
      </c>
      <c r="CK48" s="954"/>
      <c r="CL48" s="964"/>
      <c r="CM48" s="965" t="s">
        <v>608</v>
      </c>
      <c r="CN48" s="966">
        <f t="shared" si="45"/>
        <v>0</v>
      </c>
      <c r="CO48" s="965" t="s">
        <v>609</v>
      </c>
      <c r="CP48" s="966">
        <f t="shared" si="46"/>
        <v>0</v>
      </c>
      <c r="CQ48" s="965" t="s">
        <v>610</v>
      </c>
      <c r="CR48" s="956">
        <f t="shared" si="47"/>
        <v>0</v>
      </c>
      <c r="CS48" s="964">
        <f t="shared" si="0"/>
        <v>0</v>
      </c>
      <c r="CT48" s="964"/>
      <c r="CU48" s="935"/>
      <c r="CV48" s="935"/>
      <c r="CW48" s="935"/>
      <c r="CX48" s="935"/>
      <c r="CY48" s="935"/>
      <c r="CZ48" s="935"/>
      <c r="DA48" s="935"/>
      <c r="DB48" s="935"/>
      <c r="DC48" s="935"/>
      <c r="DD48" s="935"/>
      <c r="DE48" s="935"/>
    </row>
    <row r="49" spans="1:109" s="3" customFormat="1" ht="12" hidden="1">
      <c r="A49" s="1">
        <v>37</v>
      </c>
      <c r="B49" s="80"/>
      <c r="E49" s="80"/>
      <c r="G49" s="80"/>
      <c r="I49" s="83"/>
      <c r="J49" s="35" t="str">
        <f t="shared" si="1"/>
        <v>.</v>
      </c>
      <c r="K49" s="83"/>
      <c r="L49" s="85"/>
      <c r="M49" s="80"/>
      <c r="N49" s="66"/>
      <c r="O49" s="593">
        <f t="shared" si="2"/>
        <v>0</v>
      </c>
      <c r="P49" s="66"/>
      <c r="Q49" s="80"/>
      <c r="R49" s="86">
        <f t="shared" si="3"/>
        <v>0</v>
      </c>
      <c r="S49" s="87"/>
      <c r="T49" s="38">
        <f t="shared" si="4"/>
        <v>0</v>
      </c>
      <c r="U49" s="969">
        <f t="shared" si="5"/>
        <v>0</v>
      </c>
      <c r="V49" s="38"/>
      <c r="W49" s="92"/>
      <c r="X49" s="93">
        <f t="shared" si="6"/>
        <v>0</v>
      </c>
      <c r="Y49" s="94"/>
      <c r="Z49" s="66"/>
      <c r="AA49" s="95"/>
      <c r="AC49" s="586">
        <f t="shared" si="7"/>
        <v>0</v>
      </c>
      <c r="AD49" s="37">
        <f t="shared" si="8"/>
        <v>0</v>
      </c>
      <c r="AE49" s="594"/>
      <c r="AF49" s="925"/>
      <c r="AG49" s="967">
        <f t="shared" si="9"/>
        <v>0</v>
      </c>
      <c r="AH49" s="968"/>
      <c r="AI49" s="969">
        <f t="shared" si="10"/>
        <v>0</v>
      </c>
      <c r="AJ49" s="595">
        <f t="shared" si="11"/>
        <v>0</v>
      </c>
      <c r="AK49" s="588">
        <f t="shared" si="12"/>
        <v>0</v>
      </c>
      <c r="AL49" s="595">
        <f t="shared" si="13"/>
        <v>0</v>
      </c>
      <c r="AM49" s="96"/>
      <c r="AN49" s="37"/>
      <c r="AO49" s="588">
        <f t="shared" si="14"/>
        <v>0</v>
      </c>
      <c r="AP49" s="37">
        <f t="shared" si="15"/>
        <v>0</v>
      </c>
      <c r="AQ49" s="883"/>
      <c r="AR49" s="37">
        <f t="shared" si="16"/>
        <v>0</v>
      </c>
      <c r="AS49" s="96"/>
      <c r="AT49" s="35" t="str">
        <f t="shared" si="17"/>
        <v>.</v>
      </c>
      <c r="AU49" s="96"/>
      <c r="AV49" s="37"/>
      <c r="AW49" s="588">
        <f t="shared" si="18"/>
        <v>0</v>
      </c>
      <c r="AX49" s="37">
        <f t="shared" si="19"/>
        <v>0</v>
      </c>
      <c r="AY49" s="588">
        <f>IF(PF!V43&gt;0,(CF49),0)</f>
        <v>0</v>
      </c>
      <c r="AZ49" s="37">
        <f t="shared" si="20"/>
        <v>0</v>
      </c>
      <c r="BA49" s="589">
        <f t="shared" si="21"/>
        <v>0</v>
      </c>
      <c r="BB49" s="37"/>
      <c r="BC49" s="587">
        <f t="shared" si="22"/>
        <v>0</v>
      </c>
      <c r="BD49" s="37">
        <f t="shared" si="23"/>
        <v>0</v>
      </c>
      <c r="BE49" s="979">
        <f t="shared" si="24"/>
        <v>0</v>
      </c>
      <c r="BF49" s="86">
        <f t="shared" si="25"/>
        <v>0</v>
      </c>
      <c r="BG49" s="953">
        <f>(BE49-BC49)*'E S'!$F$47</f>
        <v>0</v>
      </c>
      <c r="BH49" s="954"/>
      <c r="BI49" s="953">
        <f t="shared" si="26"/>
        <v>0</v>
      </c>
      <c r="BJ49" s="955"/>
      <c r="BK49" s="953">
        <f t="shared" si="27"/>
        <v>0</v>
      </c>
      <c r="BL49" s="955">
        <f t="shared" si="28"/>
        <v>0</v>
      </c>
      <c r="BM49" s="954"/>
      <c r="BN49" s="954"/>
      <c r="BO49" s="954"/>
      <c r="BP49" s="954">
        <v>1</v>
      </c>
      <c r="BQ49" s="956">
        <f t="shared" si="29"/>
        <v>0</v>
      </c>
      <c r="BR49" s="954">
        <v>2</v>
      </c>
      <c r="BS49" s="956">
        <f t="shared" si="30"/>
        <v>0</v>
      </c>
      <c r="BT49" s="954">
        <v>3</v>
      </c>
      <c r="BU49" s="956">
        <f>IF($E49&gt;0,(BQ49*$O$6)+BQ49,0)</f>
        <v>0</v>
      </c>
      <c r="BV49" s="954">
        <v>4</v>
      </c>
      <c r="BW49" s="956">
        <f t="shared" si="32"/>
        <v>0</v>
      </c>
      <c r="BX49" s="954">
        <v>5</v>
      </c>
      <c r="BY49" s="956">
        <f t="shared" si="33"/>
        <v>0</v>
      </c>
      <c r="BZ49" s="954">
        <f t="shared" si="34"/>
        <v>0</v>
      </c>
      <c r="CA49" s="957">
        <f t="shared" si="35"/>
        <v>0</v>
      </c>
      <c r="CB49" s="957">
        <f t="shared" si="36"/>
        <v>0</v>
      </c>
      <c r="CC49" s="954">
        <f t="shared" si="37"/>
        <v>0</v>
      </c>
      <c r="CD49" s="958">
        <f t="shared" si="38"/>
        <v>0</v>
      </c>
      <c r="CE49" s="959">
        <f t="shared" si="39"/>
        <v>0</v>
      </c>
      <c r="CF49" s="960">
        <f t="shared" si="40"/>
        <v>0</v>
      </c>
      <c r="CG49" s="960">
        <f t="shared" si="41"/>
        <v>0</v>
      </c>
      <c r="CH49" s="960">
        <f t="shared" si="42"/>
        <v>0</v>
      </c>
      <c r="CI49" s="955">
        <f t="shared" si="43"/>
        <v>0</v>
      </c>
      <c r="CJ49" s="955">
        <f t="shared" si="44"/>
        <v>0</v>
      </c>
      <c r="CK49" s="954"/>
      <c r="CL49" s="964"/>
      <c r="CM49" s="965" t="s">
        <v>608</v>
      </c>
      <c r="CN49" s="966">
        <f t="shared" si="45"/>
        <v>0</v>
      </c>
      <c r="CO49" s="965" t="s">
        <v>609</v>
      </c>
      <c r="CP49" s="966">
        <f t="shared" si="46"/>
        <v>0</v>
      </c>
      <c r="CQ49" s="965" t="s">
        <v>610</v>
      </c>
      <c r="CR49" s="956">
        <f t="shared" si="47"/>
        <v>0</v>
      </c>
      <c r="CS49" s="964">
        <f t="shared" si="0"/>
        <v>0</v>
      </c>
      <c r="CT49" s="964"/>
      <c r="CU49" s="935"/>
      <c r="CV49" s="935"/>
      <c r="CW49" s="935"/>
      <c r="CX49" s="935"/>
      <c r="CY49" s="935"/>
      <c r="CZ49" s="935"/>
      <c r="DA49" s="935"/>
      <c r="DB49" s="935"/>
      <c r="DC49" s="935"/>
      <c r="DD49" s="935"/>
      <c r="DE49" s="935"/>
    </row>
    <row r="50" spans="1:109" s="3" customFormat="1" ht="12" hidden="1">
      <c r="A50" s="1">
        <v>38</v>
      </c>
      <c r="B50" s="80"/>
      <c r="E50" s="80"/>
      <c r="G50" s="80"/>
      <c r="I50" s="82"/>
      <c r="J50" s="35" t="str">
        <f t="shared" si="1"/>
        <v>.</v>
      </c>
      <c r="K50" s="83"/>
      <c r="L50" s="85"/>
      <c r="M50" s="80"/>
      <c r="N50" s="66"/>
      <c r="O50" s="593">
        <f t="shared" si="2"/>
        <v>0</v>
      </c>
      <c r="P50" s="66"/>
      <c r="Q50" s="80"/>
      <c r="R50" s="86">
        <f t="shared" si="3"/>
        <v>0</v>
      </c>
      <c r="S50" s="87"/>
      <c r="T50" s="38">
        <f t="shared" si="4"/>
        <v>0</v>
      </c>
      <c r="U50" s="969">
        <f t="shared" si="5"/>
        <v>0</v>
      </c>
      <c r="V50" s="38"/>
      <c r="W50" s="92"/>
      <c r="X50" s="93">
        <f t="shared" si="6"/>
        <v>0</v>
      </c>
      <c r="Y50" s="94"/>
      <c r="Z50" s="66"/>
      <c r="AA50" s="95"/>
      <c r="AC50" s="586">
        <f t="shared" si="7"/>
        <v>0</v>
      </c>
      <c r="AD50" s="37">
        <f t="shared" si="8"/>
        <v>0</v>
      </c>
      <c r="AE50" s="594"/>
      <c r="AF50" s="925"/>
      <c r="AG50" s="967">
        <f t="shared" si="9"/>
        <v>0</v>
      </c>
      <c r="AH50" s="968"/>
      <c r="AI50" s="969">
        <f t="shared" si="10"/>
        <v>0</v>
      </c>
      <c r="AJ50" s="595">
        <f t="shared" si="11"/>
        <v>0</v>
      </c>
      <c r="AK50" s="588">
        <f t="shared" si="12"/>
        <v>0</v>
      </c>
      <c r="AL50" s="595">
        <f t="shared" si="13"/>
        <v>0</v>
      </c>
      <c r="AM50" s="96"/>
      <c r="AN50" s="37"/>
      <c r="AO50" s="588">
        <f t="shared" si="14"/>
        <v>0</v>
      </c>
      <c r="AP50" s="37">
        <f t="shared" si="15"/>
        <v>0</v>
      </c>
      <c r="AQ50" s="883"/>
      <c r="AR50" s="37">
        <f t="shared" si="16"/>
        <v>0</v>
      </c>
      <c r="AS50" s="96"/>
      <c r="AT50" s="35" t="str">
        <f t="shared" si="17"/>
        <v>.</v>
      </c>
      <c r="AU50" s="96"/>
      <c r="AV50" s="37"/>
      <c r="AW50" s="588">
        <f t="shared" si="18"/>
        <v>0</v>
      </c>
      <c r="AX50" s="37">
        <f t="shared" si="19"/>
        <v>0</v>
      </c>
      <c r="AY50" s="588">
        <f>IF(PF!V44&gt;0,(CF50),0)</f>
        <v>0</v>
      </c>
      <c r="AZ50" s="37">
        <f t="shared" si="20"/>
        <v>0</v>
      </c>
      <c r="BA50" s="589">
        <f t="shared" si="21"/>
        <v>0</v>
      </c>
      <c r="BB50" s="37"/>
      <c r="BC50" s="587">
        <f t="shared" si="22"/>
        <v>0</v>
      </c>
      <c r="BD50" s="37">
        <f t="shared" si="23"/>
        <v>0</v>
      </c>
      <c r="BE50" s="979">
        <f t="shared" si="24"/>
        <v>0</v>
      </c>
      <c r="BF50" s="86">
        <f t="shared" si="25"/>
        <v>0</v>
      </c>
      <c r="BG50" s="953">
        <f>(BE50-BC50)*'E S'!$F$47</f>
        <v>0</v>
      </c>
      <c r="BH50" s="954"/>
      <c r="BI50" s="953">
        <f t="shared" si="26"/>
        <v>0</v>
      </c>
      <c r="BJ50" s="955"/>
      <c r="BK50" s="953">
        <f t="shared" si="27"/>
        <v>0</v>
      </c>
      <c r="BL50" s="955">
        <f t="shared" si="28"/>
        <v>0</v>
      </c>
      <c r="BM50" s="954"/>
      <c r="BN50" s="954"/>
      <c r="BO50" s="954"/>
      <c r="BP50" s="954">
        <v>1</v>
      </c>
      <c r="BQ50" s="956">
        <f t="shared" si="29"/>
        <v>0</v>
      </c>
      <c r="BR50" s="954">
        <v>2</v>
      </c>
      <c r="BS50" s="956">
        <f t="shared" si="30"/>
        <v>0</v>
      </c>
      <c r="BT50" s="954">
        <v>3</v>
      </c>
      <c r="BU50" s="956">
        <f t="shared" si="31"/>
        <v>0</v>
      </c>
      <c r="BV50" s="954">
        <v>4</v>
      </c>
      <c r="BW50" s="956">
        <f t="shared" si="32"/>
        <v>0</v>
      </c>
      <c r="BX50" s="954">
        <v>5</v>
      </c>
      <c r="BY50" s="956">
        <f t="shared" si="33"/>
        <v>0</v>
      </c>
      <c r="BZ50" s="954">
        <f t="shared" si="34"/>
        <v>0</v>
      </c>
      <c r="CA50" s="957">
        <f t="shared" si="35"/>
        <v>0</v>
      </c>
      <c r="CB50" s="957">
        <f t="shared" si="36"/>
        <v>0</v>
      </c>
      <c r="CC50" s="954">
        <f t="shared" si="37"/>
        <v>0</v>
      </c>
      <c r="CD50" s="958">
        <f t="shared" si="38"/>
        <v>0</v>
      </c>
      <c r="CE50" s="959">
        <f t="shared" si="39"/>
        <v>0</v>
      </c>
      <c r="CF50" s="960">
        <f t="shared" si="40"/>
        <v>0</v>
      </c>
      <c r="CG50" s="960">
        <f t="shared" si="41"/>
        <v>0</v>
      </c>
      <c r="CH50" s="960">
        <f t="shared" si="42"/>
        <v>0</v>
      </c>
      <c r="CI50" s="955">
        <f t="shared" si="43"/>
        <v>0</v>
      </c>
      <c r="CJ50" s="955">
        <f t="shared" si="44"/>
        <v>0</v>
      </c>
      <c r="CK50" s="954"/>
      <c r="CL50" s="964"/>
      <c r="CM50" s="965" t="s">
        <v>608</v>
      </c>
      <c r="CN50" s="966">
        <f t="shared" si="45"/>
        <v>0</v>
      </c>
      <c r="CO50" s="965" t="s">
        <v>609</v>
      </c>
      <c r="CP50" s="966">
        <f t="shared" si="46"/>
        <v>0</v>
      </c>
      <c r="CQ50" s="965" t="s">
        <v>610</v>
      </c>
      <c r="CR50" s="956">
        <f t="shared" si="47"/>
        <v>0</v>
      </c>
      <c r="CS50" s="964">
        <f t="shared" si="0"/>
        <v>0</v>
      </c>
      <c r="CT50" s="964"/>
      <c r="CU50" s="935"/>
      <c r="CV50" s="935"/>
      <c r="CW50" s="935"/>
      <c r="CX50" s="935"/>
      <c r="CY50" s="935"/>
      <c r="CZ50" s="935"/>
      <c r="DA50" s="935"/>
      <c r="DB50" s="935"/>
      <c r="DC50" s="935"/>
      <c r="DD50" s="935"/>
      <c r="DE50" s="935"/>
    </row>
    <row r="51" spans="1:109" s="3" customFormat="1" ht="12" hidden="1">
      <c r="A51" s="1">
        <v>39</v>
      </c>
      <c r="B51" s="80"/>
      <c r="E51" s="80"/>
      <c r="G51" s="80"/>
      <c r="I51" s="83"/>
      <c r="J51" s="35"/>
      <c r="K51" s="83"/>
      <c r="L51" s="85"/>
      <c r="M51" s="80"/>
      <c r="N51" s="66"/>
      <c r="O51" s="593">
        <f t="shared" si="2"/>
        <v>0</v>
      </c>
      <c r="P51" s="66"/>
      <c r="Q51" s="80"/>
      <c r="R51" s="86">
        <f t="shared" si="3"/>
        <v>0</v>
      </c>
      <c r="S51" s="87"/>
      <c r="T51" s="38">
        <f t="shared" si="4"/>
        <v>0</v>
      </c>
      <c r="U51" s="969">
        <f t="shared" si="5"/>
        <v>0</v>
      </c>
      <c r="V51" s="38"/>
      <c r="W51" s="92"/>
      <c r="X51" s="93">
        <f t="shared" si="6"/>
        <v>0</v>
      </c>
      <c r="Y51" s="94"/>
      <c r="Z51" s="66"/>
      <c r="AA51" s="95"/>
      <c r="AC51" s="586">
        <f t="shared" si="7"/>
        <v>0</v>
      </c>
      <c r="AD51" s="37">
        <f t="shared" si="8"/>
        <v>0</v>
      </c>
      <c r="AE51" s="594"/>
      <c r="AF51" s="925"/>
      <c r="AG51" s="967">
        <f t="shared" si="9"/>
        <v>0</v>
      </c>
      <c r="AH51" s="968"/>
      <c r="AI51" s="969">
        <f t="shared" si="10"/>
        <v>0</v>
      </c>
      <c r="AJ51" s="595">
        <f t="shared" si="11"/>
        <v>0</v>
      </c>
      <c r="AK51" s="588">
        <f t="shared" si="12"/>
        <v>0</v>
      </c>
      <c r="AL51" s="595">
        <f t="shared" si="13"/>
        <v>0</v>
      </c>
      <c r="AM51" s="96"/>
      <c r="AN51" s="37"/>
      <c r="AO51" s="588">
        <f t="shared" si="14"/>
        <v>0</v>
      </c>
      <c r="AP51" s="37">
        <f t="shared" si="15"/>
        <v>0</v>
      </c>
      <c r="AQ51" s="883"/>
      <c r="AR51" s="37">
        <f t="shared" si="16"/>
        <v>0</v>
      </c>
      <c r="AS51" s="96"/>
      <c r="AT51" s="35" t="str">
        <f t="shared" si="17"/>
        <v>.</v>
      </c>
      <c r="AU51" s="96"/>
      <c r="AV51" s="37"/>
      <c r="AW51" s="588">
        <f t="shared" si="18"/>
        <v>0</v>
      </c>
      <c r="AX51" s="37">
        <f t="shared" si="19"/>
        <v>0</v>
      </c>
      <c r="AY51" s="588">
        <f>IF(PF!V45&gt;0,(CF51),0)</f>
        <v>0</v>
      </c>
      <c r="AZ51" s="37">
        <f t="shared" si="20"/>
        <v>0</v>
      </c>
      <c r="BA51" s="589">
        <f t="shared" si="21"/>
        <v>0</v>
      </c>
      <c r="BB51" s="37"/>
      <c r="BC51" s="587">
        <f t="shared" si="22"/>
        <v>0</v>
      </c>
      <c r="BD51" s="37">
        <f t="shared" si="23"/>
        <v>0</v>
      </c>
      <c r="BE51" s="979">
        <f t="shared" si="24"/>
        <v>0</v>
      </c>
      <c r="BF51" s="86">
        <f t="shared" si="25"/>
        <v>0</v>
      </c>
      <c r="BG51" s="953">
        <f>(BE51-BC51)*'E S'!$F$47</f>
        <v>0</v>
      </c>
      <c r="BH51" s="954"/>
      <c r="BI51" s="953">
        <f t="shared" si="26"/>
        <v>0</v>
      </c>
      <c r="BJ51" s="955"/>
      <c r="BK51" s="953">
        <f t="shared" si="27"/>
        <v>0</v>
      </c>
      <c r="BL51" s="955">
        <f t="shared" si="28"/>
        <v>0</v>
      </c>
      <c r="BM51" s="954"/>
      <c r="BN51" s="954"/>
      <c r="BO51" s="954"/>
      <c r="BP51" s="954">
        <v>1</v>
      </c>
      <c r="BQ51" s="956">
        <f t="shared" si="29"/>
        <v>0</v>
      </c>
      <c r="BR51" s="954">
        <v>2</v>
      </c>
      <c r="BS51" s="956">
        <f t="shared" si="30"/>
        <v>0</v>
      </c>
      <c r="BT51" s="954">
        <v>3</v>
      </c>
      <c r="BU51" s="956">
        <f t="shared" si="31"/>
        <v>0</v>
      </c>
      <c r="BV51" s="954">
        <v>4</v>
      </c>
      <c r="BW51" s="956">
        <f t="shared" si="32"/>
        <v>0</v>
      </c>
      <c r="BX51" s="954">
        <v>5</v>
      </c>
      <c r="BY51" s="956">
        <f t="shared" si="33"/>
        <v>0</v>
      </c>
      <c r="BZ51" s="954">
        <f t="shared" si="34"/>
        <v>0</v>
      </c>
      <c r="CA51" s="957">
        <f t="shared" si="35"/>
        <v>0</v>
      </c>
      <c r="CB51" s="957">
        <f t="shared" si="36"/>
        <v>0</v>
      </c>
      <c r="CC51" s="954">
        <f t="shared" si="37"/>
        <v>0</v>
      </c>
      <c r="CD51" s="958">
        <f t="shared" si="38"/>
        <v>0</v>
      </c>
      <c r="CE51" s="959">
        <f t="shared" si="39"/>
        <v>0</v>
      </c>
      <c r="CF51" s="960">
        <f t="shared" si="40"/>
        <v>0</v>
      </c>
      <c r="CG51" s="960">
        <f t="shared" si="41"/>
        <v>0</v>
      </c>
      <c r="CH51" s="960">
        <f t="shared" si="42"/>
        <v>0</v>
      </c>
      <c r="CI51" s="955">
        <f t="shared" si="43"/>
        <v>0</v>
      </c>
      <c r="CJ51" s="955">
        <f t="shared" si="44"/>
        <v>0</v>
      </c>
      <c r="CK51" s="954"/>
      <c r="CL51" s="964"/>
      <c r="CM51" s="965" t="s">
        <v>608</v>
      </c>
      <c r="CN51" s="966">
        <f t="shared" si="45"/>
        <v>0</v>
      </c>
      <c r="CO51" s="965" t="s">
        <v>609</v>
      </c>
      <c r="CP51" s="966">
        <f t="shared" si="46"/>
        <v>0</v>
      </c>
      <c r="CQ51" s="965" t="s">
        <v>610</v>
      </c>
      <c r="CR51" s="956">
        <f t="shared" si="47"/>
        <v>0</v>
      </c>
      <c r="CS51" s="964">
        <f t="shared" si="0"/>
        <v>0</v>
      </c>
      <c r="CT51" s="964"/>
      <c r="CU51" s="935"/>
      <c r="CV51" s="935"/>
      <c r="CW51" s="935"/>
      <c r="CX51" s="935"/>
      <c r="CY51" s="935"/>
      <c r="CZ51" s="935"/>
      <c r="DA51" s="935"/>
      <c r="DB51" s="935"/>
      <c r="DC51" s="935"/>
      <c r="DD51" s="935"/>
      <c r="DE51" s="935"/>
    </row>
    <row r="52" spans="1:109" s="3" customFormat="1" ht="12" hidden="1">
      <c r="A52" s="1">
        <v>40</v>
      </c>
      <c r="B52" s="80"/>
      <c r="E52" s="80"/>
      <c r="G52" s="80"/>
      <c r="I52" s="83"/>
      <c r="J52" s="35" t="str">
        <f>IF(I52&gt;0,"às",".")</f>
        <v>.</v>
      </c>
      <c r="K52" s="83"/>
      <c r="L52" s="85"/>
      <c r="M52" s="80"/>
      <c r="N52" s="66"/>
      <c r="O52" s="593">
        <f t="shared" si="2"/>
        <v>0</v>
      </c>
      <c r="P52" s="66"/>
      <c r="Q52" s="90"/>
      <c r="R52" s="86">
        <f t="shared" si="3"/>
        <v>0</v>
      </c>
      <c r="S52" s="87"/>
      <c r="T52" s="38">
        <f t="shared" si="4"/>
        <v>0</v>
      </c>
      <c r="U52" s="969">
        <f t="shared" si="5"/>
        <v>0</v>
      </c>
      <c r="V52" s="38"/>
      <c r="W52" s="92"/>
      <c r="X52" s="93">
        <f t="shared" si="6"/>
        <v>0</v>
      </c>
      <c r="Y52" s="94"/>
      <c r="Z52" s="66"/>
      <c r="AA52" s="95"/>
      <c r="AC52" s="586">
        <f t="shared" si="7"/>
        <v>0</v>
      </c>
      <c r="AD52" s="37">
        <f t="shared" si="8"/>
        <v>0</v>
      </c>
      <c r="AE52" s="594"/>
      <c r="AF52" s="925"/>
      <c r="AG52" s="967">
        <f t="shared" si="9"/>
        <v>0</v>
      </c>
      <c r="AH52" s="968"/>
      <c r="AI52" s="969">
        <f t="shared" si="10"/>
        <v>0</v>
      </c>
      <c r="AJ52" s="595">
        <f t="shared" si="11"/>
        <v>0</v>
      </c>
      <c r="AK52" s="588">
        <f t="shared" si="12"/>
        <v>0</v>
      </c>
      <c r="AL52" s="595">
        <f t="shared" si="13"/>
        <v>0</v>
      </c>
      <c r="AM52" s="96"/>
      <c r="AN52" s="37"/>
      <c r="AO52" s="588">
        <f t="shared" si="14"/>
        <v>0</v>
      </c>
      <c r="AP52" s="37">
        <f t="shared" si="15"/>
        <v>0</v>
      </c>
      <c r="AQ52" s="883"/>
      <c r="AR52" s="37">
        <f t="shared" si="16"/>
        <v>0</v>
      </c>
      <c r="AS52" s="96"/>
      <c r="AT52" s="35" t="str">
        <f t="shared" si="17"/>
        <v>.</v>
      </c>
      <c r="AU52" s="96"/>
      <c r="AV52" s="37"/>
      <c r="AW52" s="588">
        <f t="shared" si="18"/>
        <v>0</v>
      </c>
      <c r="AX52" s="37">
        <f t="shared" si="19"/>
        <v>0</v>
      </c>
      <c r="AY52" s="588">
        <f>IF(PF!V46&gt;0,(CF52),0)</f>
        <v>0</v>
      </c>
      <c r="AZ52" s="37">
        <f t="shared" si="20"/>
        <v>0</v>
      </c>
      <c r="BA52" s="589">
        <f t="shared" si="21"/>
        <v>0</v>
      </c>
      <c r="BB52" s="37"/>
      <c r="BC52" s="587">
        <f t="shared" si="22"/>
        <v>0</v>
      </c>
      <c r="BD52" s="37">
        <f t="shared" si="23"/>
        <v>0</v>
      </c>
      <c r="BE52" s="979">
        <f t="shared" si="24"/>
        <v>0</v>
      </c>
      <c r="BF52" s="86">
        <f t="shared" si="25"/>
        <v>0</v>
      </c>
      <c r="BG52" s="953">
        <f>(BE52-BC52)*'E S'!$F$47</f>
        <v>0</v>
      </c>
      <c r="BH52" s="954"/>
      <c r="BI52" s="953">
        <f t="shared" si="26"/>
        <v>0</v>
      </c>
      <c r="BJ52" s="955"/>
      <c r="BK52" s="953">
        <f t="shared" si="27"/>
        <v>0</v>
      </c>
      <c r="BL52" s="955">
        <f t="shared" si="28"/>
        <v>0</v>
      </c>
      <c r="BM52" s="954"/>
      <c r="BN52" s="954"/>
      <c r="BO52" s="954"/>
      <c r="BP52" s="954">
        <v>1</v>
      </c>
      <c r="BQ52" s="956">
        <f t="shared" si="29"/>
        <v>0</v>
      </c>
      <c r="BR52" s="954">
        <v>2</v>
      </c>
      <c r="BS52" s="956">
        <f t="shared" si="30"/>
        <v>0</v>
      </c>
      <c r="BT52" s="954">
        <v>3</v>
      </c>
      <c r="BU52" s="956">
        <f t="shared" si="31"/>
        <v>0</v>
      </c>
      <c r="BV52" s="954">
        <v>4</v>
      </c>
      <c r="BW52" s="956">
        <f t="shared" si="32"/>
        <v>0</v>
      </c>
      <c r="BX52" s="954">
        <v>5</v>
      </c>
      <c r="BY52" s="956">
        <f t="shared" si="33"/>
        <v>0</v>
      </c>
      <c r="BZ52" s="954">
        <f t="shared" si="34"/>
        <v>0</v>
      </c>
      <c r="CA52" s="957">
        <f t="shared" si="35"/>
        <v>0</v>
      </c>
      <c r="CB52" s="957">
        <f t="shared" si="36"/>
        <v>0</v>
      </c>
      <c r="CC52" s="954">
        <f t="shared" si="37"/>
        <v>0</v>
      </c>
      <c r="CD52" s="958">
        <f t="shared" si="38"/>
        <v>0</v>
      </c>
      <c r="CE52" s="959">
        <f t="shared" si="39"/>
        <v>0</v>
      </c>
      <c r="CF52" s="960">
        <f t="shared" si="40"/>
        <v>0</v>
      </c>
      <c r="CG52" s="960">
        <f t="shared" si="41"/>
        <v>0</v>
      </c>
      <c r="CH52" s="960">
        <f t="shared" si="42"/>
        <v>0</v>
      </c>
      <c r="CI52" s="955">
        <f t="shared" si="43"/>
        <v>0</v>
      </c>
      <c r="CJ52" s="955">
        <f t="shared" si="44"/>
        <v>0</v>
      </c>
      <c r="CK52" s="954"/>
      <c r="CL52" s="964"/>
      <c r="CM52" s="965" t="s">
        <v>608</v>
      </c>
      <c r="CN52" s="966">
        <f t="shared" si="45"/>
        <v>0</v>
      </c>
      <c r="CO52" s="965" t="s">
        <v>609</v>
      </c>
      <c r="CP52" s="966">
        <f t="shared" si="46"/>
        <v>0</v>
      </c>
      <c r="CQ52" s="965" t="s">
        <v>610</v>
      </c>
      <c r="CR52" s="956">
        <f t="shared" si="47"/>
        <v>0</v>
      </c>
      <c r="CS52" s="964">
        <f t="shared" si="0"/>
        <v>0</v>
      </c>
      <c r="CT52" s="964"/>
      <c r="CU52" s="935"/>
      <c r="CV52" s="935"/>
      <c r="CW52" s="935"/>
      <c r="CX52" s="935"/>
      <c r="CY52" s="935"/>
      <c r="CZ52" s="935"/>
      <c r="DA52" s="935"/>
      <c r="DB52" s="935"/>
      <c r="DC52" s="935"/>
      <c r="DD52" s="935"/>
      <c r="DE52" s="935"/>
    </row>
    <row r="53" spans="1:109" s="3" customFormat="1" ht="12" hidden="1">
      <c r="A53" s="1">
        <v>41</v>
      </c>
      <c r="B53" s="80"/>
      <c r="E53" s="80"/>
      <c r="G53" s="80"/>
      <c r="I53" s="83"/>
      <c r="J53" s="35" t="str">
        <f>IF(I53&gt;0,"às",".")</f>
        <v>.</v>
      </c>
      <c r="K53" s="83"/>
      <c r="L53" s="85"/>
      <c r="M53" s="80"/>
      <c r="N53" s="66"/>
      <c r="O53" s="593">
        <f t="shared" si="2"/>
        <v>0</v>
      </c>
      <c r="P53" s="66"/>
      <c r="Q53" s="80"/>
      <c r="R53" s="86">
        <f t="shared" si="3"/>
        <v>0</v>
      </c>
      <c r="S53" s="87"/>
      <c r="T53" s="38">
        <f t="shared" si="4"/>
        <v>0</v>
      </c>
      <c r="U53" s="969">
        <f t="shared" si="5"/>
        <v>0</v>
      </c>
      <c r="V53" s="38"/>
      <c r="W53" s="92"/>
      <c r="X53" s="93">
        <f t="shared" si="6"/>
        <v>0</v>
      </c>
      <c r="Y53" s="94"/>
      <c r="Z53" s="66"/>
      <c r="AA53" s="95"/>
      <c r="AC53" s="586">
        <f t="shared" si="7"/>
        <v>0</v>
      </c>
      <c r="AD53" s="37">
        <f t="shared" si="8"/>
        <v>0</v>
      </c>
      <c r="AE53" s="594"/>
      <c r="AF53" s="925"/>
      <c r="AG53" s="967">
        <f t="shared" si="9"/>
        <v>0</v>
      </c>
      <c r="AH53" s="968"/>
      <c r="AI53" s="969">
        <f t="shared" si="10"/>
        <v>0</v>
      </c>
      <c r="AJ53" s="595">
        <f t="shared" si="11"/>
        <v>0</v>
      </c>
      <c r="AK53" s="588">
        <f t="shared" si="12"/>
        <v>0</v>
      </c>
      <c r="AL53" s="595">
        <f t="shared" si="13"/>
        <v>0</v>
      </c>
      <c r="AM53" s="96"/>
      <c r="AN53" s="37"/>
      <c r="AO53" s="588">
        <f t="shared" si="14"/>
        <v>0</v>
      </c>
      <c r="AP53" s="37">
        <f t="shared" si="15"/>
        <v>0</v>
      </c>
      <c r="AQ53" s="883"/>
      <c r="AR53" s="37">
        <f t="shared" si="16"/>
        <v>0</v>
      </c>
      <c r="AS53" s="96"/>
      <c r="AT53" s="35" t="str">
        <f t="shared" si="17"/>
        <v>.</v>
      </c>
      <c r="AU53" s="96"/>
      <c r="AV53" s="37"/>
      <c r="AW53" s="588">
        <f t="shared" si="18"/>
        <v>0</v>
      </c>
      <c r="AX53" s="37">
        <f t="shared" si="19"/>
        <v>0</v>
      </c>
      <c r="AY53" s="588">
        <f>IF(PF!V47&gt;0,(CF53),0)</f>
        <v>0</v>
      </c>
      <c r="AZ53" s="37">
        <f t="shared" si="20"/>
        <v>0</v>
      </c>
      <c r="BA53" s="589">
        <f t="shared" si="21"/>
        <v>0</v>
      </c>
      <c r="BB53" s="37"/>
      <c r="BC53" s="587">
        <f t="shared" si="22"/>
        <v>0</v>
      </c>
      <c r="BD53" s="37">
        <f t="shared" si="23"/>
        <v>0</v>
      </c>
      <c r="BE53" s="979">
        <f t="shared" si="24"/>
        <v>0</v>
      </c>
      <c r="BF53" s="86">
        <f t="shared" si="25"/>
        <v>0</v>
      </c>
      <c r="BG53" s="953">
        <f>(BE53-BC53)*'E S'!$F$47</f>
        <v>0</v>
      </c>
      <c r="BH53" s="954"/>
      <c r="BI53" s="953">
        <f t="shared" si="26"/>
        <v>0</v>
      </c>
      <c r="BJ53" s="955"/>
      <c r="BK53" s="953">
        <f t="shared" si="27"/>
        <v>0</v>
      </c>
      <c r="BL53" s="955">
        <f t="shared" si="28"/>
        <v>0</v>
      </c>
      <c r="BM53" s="954"/>
      <c r="BN53" s="954"/>
      <c r="BO53" s="954"/>
      <c r="BP53" s="954">
        <v>1</v>
      </c>
      <c r="BQ53" s="956">
        <f t="shared" si="29"/>
        <v>0</v>
      </c>
      <c r="BR53" s="954">
        <v>2</v>
      </c>
      <c r="BS53" s="956">
        <f t="shared" si="30"/>
        <v>0</v>
      </c>
      <c r="BT53" s="954">
        <v>3</v>
      </c>
      <c r="BU53" s="956">
        <f>IF($E53&gt;0,(BQ53*$O$6)+BQ53,0)</f>
        <v>0</v>
      </c>
      <c r="BV53" s="954">
        <v>4</v>
      </c>
      <c r="BW53" s="956">
        <f t="shared" si="32"/>
        <v>0</v>
      </c>
      <c r="BX53" s="954">
        <v>5</v>
      </c>
      <c r="BY53" s="956">
        <f t="shared" si="33"/>
        <v>0</v>
      </c>
      <c r="BZ53" s="954">
        <f t="shared" si="34"/>
        <v>0</v>
      </c>
      <c r="CA53" s="957">
        <f t="shared" si="35"/>
        <v>0</v>
      </c>
      <c r="CB53" s="957">
        <f t="shared" si="36"/>
        <v>0</v>
      </c>
      <c r="CC53" s="954">
        <f t="shared" si="37"/>
        <v>0</v>
      </c>
      <c r="CD53" s="958">
        <f t="shared" si="38"/>
        <v>0</v>
      </c>
      <c r="CE53" s="959">
        <f t="shared" si="39"/>
        <v>0</v>
      </c>
      <c r="CF53" s="960">
        <f t="shared" si="40"/>
        <v>0</v>
      </c>
      <c r="CG53" s="960">
        <f t="shared" si="41"/>
        <v>0</v>
      </c>
      <c r="CH53" s="960">
        <f t="shared" si="42"/>
        <v>0</v>
      </c>
      <c r="CI53" s="955">
        <f t="shared" si="43"/>
        <v>0</v>
      </c>
      <c r="CJ53" s="955">
        <f t="shared" si="44"/>
        <v>0</v>
      </c>
      <c r="CK53" s="954"/>
      <c r="CL53" s="964"/>
      <c r="CM53" s="965" t="s">
        <v>608</v>
      </c>
      <c r="CN53" s="966">
        <f t="shared" si="45"/>
        <v>0</v>
      </c>
      <c r="CO53" s="965" t="s">
        <v>609</v>
      </c>
      <c r="CP53" s="966">
        <f t="shared" si="46"/>
        <v>0</v>
      </c>
      <c r="CQ53" s="965" t="s">
        <v>610</v>
      </c>
      <c r="CR53" s="956">
        <f t="shared" si="47"/>
        <v>0</v>
      </c>
      <c r="CS53" s="964">
        <f t="shared" si="0"/>
        <v>0</v>
      </c>
      <c r="CT53" s="964"/>
      <c r="CU53" s="935"/>
      <c r="CV53" s="935"/>
      <c r="CW53" s="935"/>
      <c r="CX53" s="935"/>
      <c r="CY53" s="935"/>
      <c r="CZ53" s="935"/>
      <c r="DA53" s="935"/>
      <c r="DB53" s="935"/>
      <c r="DC53" s="935"/>
      <c r="DD53" s="935"/>
      <c r="DE53" s="935"/>
    </row>
    <row r="54" spans="1:109" s="3" customFormat="1" ht="12" hidden="1">
      <c r="A54" s="1">
        <v>42</v>
      </c>
      <c r="B54" s="80"/>
      <c r="E54" s="80"/>
      <c r="G54" s="80"/>
      <c r="I54" s="82"/>
      <c r="J54" s="35" t="str">
        <f t="shared" si="1"/>
        <v>.</v>
      </c>
      <c r="K54" s="83"/>
      <c r="L54" s="85"/>
      <c r="M54" s="80"/>
      <c r="N54" s="66"/>
      <c r="O54" s="593">
        <f t="shared" si="2"/>
        <v>0</v>
      </c>
      <c r="P54" s="66"/>
      <c r="Q54" s="89"/>
      <c r="R54" s="86">
        <f t="shared" si="3"/>
        <v>0</v>
      </c>
      <c r="S54" s="87"/>
      <c r="T54" s="38">
        <f t="shared" si="4"/>
        <v>0</v>
      </c>
      <c r="U54" s="969">
        <f t="shared" si="5"/>
        <v>0</v>
      </c>
      <c r="V54" s="38"/>
      <c r="W54" s="92"/>
      <c r="X54" s="93">
        <f t="shared" si="6"/>
        <v>0</v>
      </c>
      <c r="Y54" s="94"/>
      <c r="Z54" s="66"/>
      <c r="AA54" s="95"/>
      <c r="AC54" s="586">
        <f t="shared" si="7"/>
        <v>0</v>
      </c>
      <c r="AD54" s="37">
        <f t="shared" si="8"/>
        <v>0</v>
      </c>
      <c r="AE54" s="594"/>
      <c r="AF54" s="925"/>
      <c r="AG54" s="967">
        <f t="shared" si="9"/>
        <v>0</v>
      </c>
      <c r="AH54" s="968"/>
      <c r="AI54" s="969">
        <f t="shared" si="10"/>
        <v>0</v>
      </c>
      <c r="AJ54" s="595">
        <f t="shared" si="11"/>
        <v>0</v>
      </c>
      <c r="AK54" s="588">
        <f t="shared" si="12"/>
        <v>0</v>
      </c>
      <c r="AL54" s="595">
        <f t="shared" si="13"/>
        <v>0</v>
      </c>
      <c r="AM54" s="96"/>
      <c r="AN54" s="37"/>
      <c r="AO54" s="588">
        <f t="shared" si="14"/>
        <v>0</v>
      </c>
      <c r="AP54" s="37">
        <f t="shared" si="15"/>
        <v>0</v>
      </c>
      <c r="AQ54" s="883"/>
      <c r="AR54" s="37">
        <f t="shared" si="16"/>
        <v>0</v>
      </c>
      <c r="AS54" s="96"/>
      <c r="AT54" s="35" t="str">
        <f t="shared" si="17"/>
        <v>.</v>
      </c>
      <c r="AU54" s="96"/>
      <c r="AV54" s="37"/>
      <c r="AW54" s="588">
        <f t="shared" si="18"/>
        <v>0</v>
      </c>
      <c r="AX54" s="37">
        <f t="shared" si="19"/>
        <v>0</v>
      </c>
      <c r="AY54" s="588">
        <f>IF(PF!V48&gt;0,(CF54),0)</f>
        <v>0</v>
      </c>
      <c r="AZ54" s="37">
        <f t="shared" si="20"/>
        <v>0</v>
      </c>
      <c r="BA54" s="589">
        <f t="shared" si="21"/>
        <v>0</v>
      </c>
      <c r="BB54" s="37"/>
      <c r="BC54" s="587">
        <f t="shared" si="22"/>
        <v>0</v>
      </c>
      <c r="BD54" s="37">
        <f t="shared" si="23"/>
        <v>0</v>
      </c>
      <c r="BE54" s="979">
        <f t="shared" si="24"/>
        <v>0</v>
      </c>
      <c r="BF54" s="86">
        <f t="shared" si="25"/>
        <v>0</v>
      </c>
      <c r="BG54" s="953">
        <f>(BE54-BC54)*'E S'!$F$47</f>
        <v>0</v>
      </c>
      <c r="BH54" s="954"/>
      <c r="BI54" s="953">
        <f t="shared" si="26"/>
        <v>0</v>
      </c>
      <c r="BJ54" s="955"/>
      <c r="BK54" s="953">
        <f t="shared" si="27"/>
        <v>0</v>
      </c>
      <c r="BL54" s="955">
        <f t="shared" si="28"/>
        <v>0</v>
      </c>
      <c r="BM54" s="954"/>
      <c r="BN54" s="954"/>
      <c r="BO54" s="954"/>
      <c r="BP54" s="954">
        <v>1</v>
      </c>
      <c r="BQ54" s="956">
        <f t="shared" si="29"/>
        <v>0</v>
      </c>
      <c r="BR54" s="954">
        <v>2</v>
      </c>
      <c r="BS54" s="956">
        <f t="shared" si="30"/>
        <v>0</v>
      </c>
      <c r="BT54" s="954">
        <v>3</v>
      </c>
      <c r="BU54" s="956">
        <f>IF($E54&gt;0,(BQ54*$O$6)+BQ54,0)</f>
        <v>0</v>
      </c>
      <c r="BV54" s="954">
        <v>4</v>
      </c>
      <c r="BW54" s="956">
        <f t="shared" si="32"/>
        <v>0</v>
      </c>
      <c r="BX54" s="954">
        <v>5</v>
      </c>
      <c r="BY54" s="956">
        <f t="shared" si="33"/>
        <v>0</v>
      </c>
      <c r="BZ54" s="954">
        <f t="shared" si="34"/>
        <v>0</v>
      </c>
      <c r="CA54" s="957">
        <f t="shared" si="35"/>
        <v>0</v>
      </c>
      <c r="CB54" s="957">
        <f t="shared" si="36"/>
        <v>0</v>
      </c>
      <c r="CC54" s="954">
        <f t="shared" si="37"/>
        <v>0</v>
      </c>
      <c r="CD54" s="958">
        <f t="shared" si="38"/>
        <v>0</v>
      </c>
      <c r="CE54" s="959">
        <f t="shared" si="39"/>
        <v>0</v>
      </c>
      <c r="CF54" s="960">
        <f t="shared" si="40"/>
        <v>0</v>
      </c>
      <c r="CG54" s="960">
        <f t="shared" si="41"/>
        <v>0</v>
      </c>
      <c r="CH54" s="960">
        <f t="shared" si="42"/>
        <v>0</v>
      </c>
      <c r="CI54" s="955">
        <f t="shared" si="43"/>
        <v>0</v>
      </c>
      <c r="CJ54" s="955">
        <f t="shared" si="44"/>
        <v>0</v>
      </c>
      <c r="CK54" s="954"/>
      <c r="CL54" s="964"/>
      <c r="CM54" s="965" t="s">
        <v>608</v>
      </c>
      <c r="CN54" s="966">
        <f t="shared" si="45"/>
        <v>0</v>
      </c>
      <c r="CO54" s="965" t="s">
        <v>609</v>
      </c>
      <c r="CP54" s="966">
        <f t="shared" si="46"/>
        <v>0</v>
      </c>
      <c r="CQ54" s="965" t="s">
        <v>610</v>
      </c>
      <c r="CR54" s="956">
        <f t="shared" si="47"/>
        <v>0</v>
      </c>
      <c r="CS54" s="964">
        <f t="shared" si="0"/>
        <v>0</v>
      </c>
      <c r="CT54" s="964"/>
      <c r="CU54" s="935"/>
      <c r="CV54" s="935"/>
      <c r="CW54" s="935"/>
      <c r="CX54" s="935"/>
      <c r="CY54" s="935"/>
      <c r="CZ54" s="935"/>
      <c r="DA54" s="935"/>
      <c r="DB54" s="935"/>
      <c r="DC54" s="935"/>
      <c r="DD54" s="935"/>
      <c r="DE54" s="935"/>
    </row>
    <row r="55" spans="1:109" s="3" customFormat="1" ht="12" hidden="1">
      <c r="A55" s="1">
        <v>43</v>
      </c>
      <c r="B55" s="80"/>
      <c r="E55" s="80"/>
      <c r="G55" s="80"/>
      <c r="I55" s="84"/>
      <c r="J55" s="35"/>
      <c r="K55" s="84"/>
      <c r="L55" s="85"/>
      <c r="M55" s="80"/>
      <c r="N55" s="66"/>
      <c r="O55" s="593">
        <f t="shared" si="2"/>
        <v>0</v>
      </c>
      <c r="P55" s="66"/>
      <c r="Q55" s="90"/>
      <c r="R55" s="86">
        <f t="shared" si="3"/>
        <v>0</v>
      </c>
      <c r="S55" s="87"/>
      <c r="T55" s="38">
        <f t="shared" si="4"/>
        <v>0</v>
      </c>
      <c r="U55" s="969">
        <f t="shared" si="5"/>
        <v>0</v>
      </c>
      <c r="V55" s="38"/>
      <c r="W55" s="92"/>
      <c r="X55" s="93">
        <f t="shared" si="6"/>
        <v>0</v>
      </c>
      <c r="Y55" s="94"/>
      <c r="Z55" s="66"/>
      <c r="AA55" s="95"/>
      <c r="AC55" s="586">
        <f t="shared" si="7"/>
        <v>0</v>
      </c>
      <c r="AD55" s="37">
        <f t="shared" si="8"/>
        <v>0</v>
      </c>
      <c r="AE55" s="594"/>
      <c r="AF55" s="925"/>
      <c r="AG55" s="967">
        <f t="shared" si="9"/>
        <v>0</v>
      </c>
      <c r="AH55" s="968"/>
      <c r="AI55" s="969">
        <f t="shared" si="10"/>
        <v>0</v>
      </c>
      <c r="AJ55" s="595">
        <f t="shared" si="11"/>
        <v>0</v>
      </c>
      <c r="AK55" s="588">
        <f t="shared" si="12"/>
        <v>0</v>
      </c>
      <c r="AL55" s="595">
        <f t="shared" si="13"/>
        <v>0</v>
      </c>
      <c r="AM55" s="96"/>
      <c r="AN55" s="37"/>
      <c r="AO55" s="588">
        <f t="shared" si="14"/>
        <v>0</v>
      </c>
      <c r="AP55" s="37">
        <f t="shared" si="15"/>
        <v>0</v>
      </c>
      <c r="AQ55" s="883"/>
      <c r="AR55" s="37">
        <f t="shared" si="16"/>
        <v>0</v>
      </c>
      <c r="AS55" s="96"/>
      <c r="AT55" s="35" t="str">
        <f t="shared" si="17"/>
        <v>.</v>
      </c>
      <c r="AU55" s="96"/>
      <c r="AV55" s="37"/>
      <c r="AW55" s="588">
        <f t="shared" si="18"/>
        <v>0</v>
      </c>
      <c r="AX55" s="37">
        <f t="shared" si="19"/>
        <v>0</v>
      </c>
      <c r="AY55" s="588">
        <f>IF(PF!V49&gt;0,(CF55),0)</f>
        <v>0</v>
      </c>
      <c r="AZ55" s="37">
        <f t="shared" si="20"/>
        <v>0</v>
      </c>
      <c r="BA55" s="589">
        <f t="shared" si="21"/>
        <v>0</v>
      </c>
      <c r="BB55" s="37"/>
      <c r="BC55" s="587">
        <f t="shared" si="22"/>
        <v>0</v>
      </c>
      <c r="BD55" s="37">
        <f t="shared" si="23"/>
        <v>0</v>
      </c>
      <c r="BE55" s="979">
        <f t="shared" si="24"/>
        <v>0</v>
      </c>
      <c r="BF55" s="86">
        <f t="shared" si="25"/>
        <v>0</v>
      </c>
      <c r="BG55" s="953">
        <f>(BE55-BC55)*'E S'!$F$47</f>
        <v>0</v>
      </c>
      <c r="BH55" s="954"/>
      <c r="BI55" s="953">
        <f t="shared" si="26"/>
        <v>0</v>
      </c>
      <c r="BJ55" s="955"/>
      <c r="BK55" s="953">
        <f t="shared" si="27"/>
        <v>0</v>
      </c>
      <c r="BL55" s="955">
        <f t="shared" si="28"/>
        <v>0</v>
      </c>
      <c r="BM55" s="954"/>
      <c r="BN55" s="954"/>
      <c r="BO55" s="954"/>
      <c r="BP55" s="954">
        <v>1</v>
      </c>
      <c r="BQ55" s="956">
        <f t="shared" si="29"/>
        <v>0</v>
      </c>
      <c r="BR55" s="954">
        <v>2</v>
      </c>
      <c r="BS55" s="956">
        <f t="shared" si="30"/>
        <v>0</v>
      </c>
      <c r="BT55" s="954">
        <v>3</v>
      </c>
      <c r="BU55" s="956">
        <f t="shared" si="31"/>
        <v>0</v>
      </c>
      <c r="BV55" s="954">
        <v>4</v>
      </c>
      <c r="BW55" s="956">
        <f t="shared" si="32"/>
        <v>0</v>
      </c>
      <c r="BX55" s="954">
        <v>5</v>
      </c>
      <c r="BY55" s="956">
        <f t="shared" si="33"/>
        <v>0</v>
      </c>
      <c r="BZ55" s="954">
        <f t="shared" si="34"/>
        <v>0</v>
      </c>
      <c r="CA55" s="957">
        <f t="shared" si="35"/>
        <v>0</v>
      </c>
      <c r="CB55" s="957">
        <f t="shared" si="36"/>
        <v>0</v>
      </c>
      <c r="CC55" s="954">
        <f t="shared" si="37"/>
        <v>0</v>
      </c>
      <c r="CD55" s="958">
        <f t="shared" si="38"/>
        <v>0</v>
      </c>
      <c r="CE55" s="959">
        <f t="shared" si="39"/>
        <v>0</v>
      </c>
      <c r="CF55" s="960">
        <f t="shared" si="40"/>
        <v>0</v>
      </c>
      <c r="CG55" s="960">
        <f t="shared" si="41"/>
        <v>0</v>
      </c>
      <c r="CH55" s="960">
        <f t="shared" si="42"/>
        <v>0</v>
      </c>
      <c r="CI55" s="955">
        <f t="shared" si="43"/>
        <v>0</v>
      </c>
      <c r="CJ55" s="955">
        <f t="shared" si="44"/>
        <v>0</v>
      </c>
      <c r="CK55" s="954"/>
      <c r="CL55" s="964"/>
      <c r="CM55" s="965" t="s">
        <v>608</v>
      </c>
      <c r="CN55" s="966">
        <f t="shared" si="45"/>
        <v>0</v>
      </c>
      <c r="CO55" s="965" t="s">
        <v>609</v>
      </c>
      <c r="CP55" s="966">
        <f t="shared" si="46"/>
        <v>0</v>
      </c>
      <c r="CQ55" s="965" t="s">
        <v>610</v>
      </c>
      <c r="CR55" s="956">
        <f t="shared" si="47"/>
        <v>0</v>
      </c>
      <c r="CS55" s="964">
        <f t="shared" si="0"/>
        <v>0</v>
      </c>
      <c r="CT55" s="964"/>
      <c r="CU55" s="935"/>
      <c r="CV55" s="935"/>
      <c r="CW55" s="935"/>
      <c r="CX55" s="935"/>
      <c r="CY55" s="935"/>
      <c r="CZ55" s="935"/>
      <c r="DA55" s="935"/>
      <c r="DB55" s="935"/>
      <c r="DC55" s="935"/>
      <c r="DD55" s="935"/>
      <c r="DE55" s="935"/>
    </row>
    <row r="56" spans="1:109" s="3" customFormat="1" ht="12" hidden="1">
      <c r="A56" s="1">
        <v>44</v>
      </c>
      <c r="B56" s="80"/>
      <c r="E56" s="80"/>
      <c r="G56" s="80"/>
      <c r="I56" s="84"/>
      <c r="J56" s="35"/>
      <c r="K56" s="84"/>
      <c r="L56" s="85"/>
      <c r="M56" s="80"/>
      <c r="N56" s="66"/>
      <c r="O56" s="593">
        <f>IF(M56&gt;0,M56,0)</f>
        <v>0</v>
      </c>
      <c r="P56" s="66"/>
      <c r="Q56" s="90"/>
      <c r="R56" s="86">
        <f t="shared" si="3"/>
        <v>0</v>
      </c>
      <c r="S56" s="91"/>
      <c r="T56" s="38">
        <f t="shared" si="4"/>
        <v>0</v>
      </c>
      <c r="U56" s="969">
        <f t="shared" si="5"/>
        <v>0</v>
      </c>
      <c r="V56" s="38"/>
      <c r="W56" s="92"/>
      <c r="X56" s="93">
        <f t="shared" si="6"/>
        <v>0</v>
      </c>
      <c r="Y56" s="94"/>
      <c r="Z56" s="66"/>
      <c r="AA56" s="95"/>
      <c r="AC56" s="586">
        <f t="shared" si="7"/>
        <v>0</v>
      </c>
      <c r="AD56" s="37">
        <f t="shared" si="8"/>
        <v>0</v>
      </c>
      <c r="AE56" s="594"/>
      <c r="AF56" s="925"/>
      <c r="AG56" s="967">
        <f t="shared" si="9"/>
        <v>0</v>
      </c>
      <c r="AH56" s="968"/>
      <c r="AI56" s="969">
        <f t="shared" si="10"/>
        <v>0</v>
      </c>
      <c r="AJ56" s="595">
        <f t="shared" si="11"/>
        <v>0</v>
      </c>
      <c r="AK56" s="588">
        <f t="shared" si="12"/>
        <v>0</v>
      </c>
      <c r="AL56" s="595">
        <f t="shared" si="13"/>
        <v>0</v>
      </c>
      <c r="AM56" s="96"/>
      <c r="AN56" s="37"/>
      <c r="AO56" s="588">
        <f t="shared" si="14"/>
        <v>0</v>
      </c>
      <c r="AP56" s="37">
        <f t="shared" si="15"/>
        <v>0</v>
      </c>
      <c r="AQ56" s="883"/>
      <c r="AR56" s="37">
        <f t="shared" si="16"/>
        <v>0</v>
      </c>
      <c r="AS56" s="96"/>
      <c r="AT56" s="35" t="str">
        <f t="shared" si="17"/>
        <v>.</v>
      </c>
      <c r="AU56" s="96"/>
      <c r="AV56" s="37"/>
      <c r="AW56" s="588">
        <f t="shared" si="18"/>
        <v>0</v>
      </c>
      <c r="AX56" s="37">
        <f t="shared" si="19"/>
        <v>0</v>
      </c>
      <c r="AY56" s="588">
        <f>IF(PF!V50&gt;0,(CF56),0)</f>
        <v>0</v>
      </c>
      <c r="AZ56" s="37">
        <f t="shared" si="20"/>
        <v>0</v>
      </c>
      <c r="BA56" s="589">
        <f t="shared" si="21"/>
        <v>0</v>
      </c>
      <c r="BB56" s="37"/>
      <c r="BC56" s="587">
        <f t="shared" si="22"/>
        <v>0</v>
      </c>
      <c r="BD56" s="37">
        <f t="shared" si="23"/>
        <v>0</v>
      </c>
      <c r="BE56" s="979">
        <f t="shared" si="24"/>
        <v>0</v>
      </c>
      <c r="BF56" s="86">
        <f t="shared" si="25"/>
        <v>0</v>
      </c>
      <c r="BG56" s="953">
        <f>(BE56-BC56)*'E S'!$F$47</f>
        <v>0</v>
      </c>
      <c r="BH56" s="954"/>
      <c r="BI56" s="953">
        <f t="shared" si="26"/>
        <v>0</v>
      </c>
      <c r="BJ56" s="955"/>
      <c r="BK56" s="953">
        <f t="shared" si="27"/>
        <v>0</v>
      </c>
      <c r="BL56" s="955">
        <f t="shared" si="28"/>
        <v>0</v>
      </c>
      <c r="BM56" s="954"/>
      <c r="BN56" s="954"/>
      <c r="BO56" s="954"/>
      <c r="BP56" s="954">
        <v>1</v>
      </c>
      <c r="BQ56" s="956">
        <f t="shared" si="29"/>
        <v>0</v>
      </c>
      <c r="BR56" s="954">
        <v>2</v>
      </c>
      <c r="BS56" s="956">
        <f t="shared" si="30"/>
        <v>0</v>
      </c>
      <c r="BT56" s="954">
        <v>3</v>
      </c>
      <c r="BU56" s="956">
        <f t="shared" si="31"/>
        <v>0</v>
      </c>
      <c r="BV56" s="954">
        <v>4</v>
      </c>
      <c r="BW56" s="956">
        <f t="shared" si="32"/>
        <v>0</v>
      </c>
      <c r="BX56" s="954">
        <v>5</v>
      </c>
      <c r="BY56" s="956">
        <f t="shared" si="33"/>
        <v>0</v>
      </c>
      <c r="BZ56" s="954">
        <f t="shared" si="34"/>
        <v>0</v>
      </c>
      <c r="CA56" s="957">
        <f t="shared" si="35"/>
        <v>0</v>
      </c>
      <c r="CB56" s="957">
        <f t="shared" si="36"/>
        <v>0</v>
      </c>
      <c r="CC56" s="954">
        <f t="shared" si="37"/>
        <v>0</v>
      </c>
      <c r="CD56" s="958">
        <f t="shared" si="38"/>
        <v>0</v>
      </c>
      <c r="CE56" s="959">
        <f t="shared" si="39"/>
        <v>0</v>
      </c>
      <c r="CF56" s="960">
        <f t="shared" si="40"/>
        <v>0</v>
      </c>
      <c r="CG56" s="960">
        <f t="shared" si="41"/>
        <v>0</v>
      </c>
      <c r="CH56" s="960">
        <f t="shared" si="42"/>
        <v>0</v>
      </c>
      <c r="CI56" s="955">
        <f t="shared" si="43"/>
        <v>0</v>
      </c>
      <c r="CJ56" s="955">
        <f t="shared" si="44"/>
        <v>0</v>
      </c>
      <c r="CK56" s="954"/>
      <c r="CL56" s="964"/>
      <c r="CM56" s="965" t="s">
        <v>608</v>
      </c>
      <c r="CN56" s="966">
        <f t="shared" si="45"/>
        <v>0</v>
      </c>
      <c r="CO56" s="965" t="s">
        <v>609</v>
      </c>
      <c r="CP56" s="966">
        <f t="shared" si="46"/>
        <v>0</v>
      </c>
      <c r="CQ56" s="965" t="s">
        <v>610</v>
      </c>
      <c r="CR56" s="956">
        <f t="shared" si="47"/>
        <v>0</v>
      </c>
      <c r="CS56" s="964">
        <f t="shared" si="0"/>
        <v>0</v>
      </c>
      <c r="CT56" s="964"/>
      <c r="CU56" s="935"/>
      <c r="CV56" s="935"/>
      <c r="CW56" s="935"/>
      <c r="CX56" s="935"/>
      <c r="CY56" s="935"/>
      <c r="CZ56" s="935"/>
      <c r="DA56" s="935"/>
      <c r="DB56" s="935"/>
      <c r="DC56" s="935"/>
      <c r="DD56" s="935"/>
      <c r="DE56" s="935"/>
    </row>
    <row r="57" spans="1:109" s="3" customFormat="1" ht="6" customHeight="1">
      <c r="A57" s="1"/>
      <c r="E57" s="2"/>
      <c r="I57" s="41"/>
      <c r="J57" s="42"/>
      <c r="K57" s="41"/>
      <c r="L57" s="41"/>
      <c r="M57" s="41"/>
      <c r="O57" s="41"/>
      <c r="S57" s="40"/>
      <c r="T57" s="40"/>
      <c r="U57" s="40"/>
      <c r="V57" s="40"/>
      <c r="W57" s="40"/>
      <c r="X57" s="40"/>
      <c r="Y57" s="40"/>
      <c r="AA57" s="43"/>
      <c r="AC57" s="39"/>
      <c r="AE57" s="556"/>
      <c r="AF57" s="556"/>
      <c r="AG57" s="556"/>
      <c r="AH57" s="556"/>
      <c r="AI57" s="556"/>
      <c r="AJ57" s="556"/>
      <c r="AK57" s="596"/>
      <c r="AL57" s="556"/>
      <c r="AM57" s="36"/>
      <c r="AO57" s="44"/>
      <c r="AS57" s="36"/>
      <c r="AU57" s="36"/>
      <c r="BA57" s="36"/>
      <c r="BE57" s="980"/>
      <c r="BF57" s="66"/>
      <c r="BG57" s="955"/>
      <c r="BH57" s="954"/>
      <c r="BI57" s="955"/>
      <c r="BJ57" s="955"/>
      <c r="BK57" s="961"/>
      <c r="BL57" s="955"/>
      <c r="BM57" s="954"/>
      <c r="BN57" s="954"/>
      <c r="BO57" s="954"/>
      <c r="BP57" s="954"/>
      <c r="BQ57" s="954"/>
      <c r="BR57" s="954"/>
      <c r="BS57" s="954"/>
      <c r="BT57" s="954"/>
      <c r="BU57" s="954"/>
      <c r="BV57" s="954"/>
      <c r="BW57" s="954"/>
      <c r="BX57" s="954"/>
      <c r="BY57" s="954"/>
      <c r="BZ57" s="954">
        <f t="shared" si="34"/>
        <v>0</v>
      </c>
      <c r="CA57" s="954"/>
      <c r="CB57" s="954"/>
      <c r="CC57" s="954"/>
      <c r="CD57" s="959"/>
      <c r="CE57" s="959"/>
      <c r="CF57" s="954"/>
      <c r="CG57" s="954"/>
      <c r="CH57" s="954"/>
      <c r="CI57" s="954"/>
      <c r="CJ57" s="954"/>
      <c r="CK57" s="954"/>
      <c r="CL57" s="964"/>
      <c r="CM57" s="965" t="s">
        <v>608</v>
      </c>
      <c r="CN57" s="966">
        <f t="shared" si="45"/>
        <v>0</v>
      </c>
      <c r="CO57" s="965" t="s">
        <v>609</v>
      </c>
      <c r="CP57" s="966">
        <f t="shared" si="46"/>
        <v>0</v>
      </c>
      <c r="CQ57" s="965" t="s">
        <v>610</v>
      </c>
      <c r="CR57" s="956">
        <f t="shared" si="47"/>
        <v>0</v>
      </c>
      <c r="CS57" s="964">
        <f t="shared" si="0"/>
        <v>0</v>
      </c>
      <c r="CT57" s="964"/>
      <c r="CU57" s="935"/>
      <c r="CV57" s="935"/>
      <c r="CW57" s="935"/>
      <c r="CX57" s="935"/>
      <c r="CY57" s="935"/>
      <c r="CZ57" s="935"/>
      <c r="DA57" s="935"/>
      <c r="DB57" s="935"/>
      <c r="DC57" s="935"/>
      <c r="DD57" s="935"/>
      <c r="DE57" s="935"/>
    </row>
    <row r="58" spans="1:109" ht="5.25" customHeight="1">
      <c r="E58" s="45"/>
      <c r="S58" s="3"/>
      <c r="T58" s="3"/>
      <c r="U58" s="3"/>
      <c r="V58" s="3"/>
      <c r="W58" s="40"/>
      <c r="X58" s="3"/>
      <c r="Y58" s="3"/>
      <c r="AA58" s="6"/>
      <c r="AC58" s="7"/>
      <c r="AE58" s="597"/>
      <c r="AF58" s="597"/>
      <c r="AG58" s="597"/>
      <c r="AH58" s="597"/>
      <c r="AI58" s="597"/>
      <c r="AJ58" s="597"/>
      <c r="AK58" s="597"/>
      <c r="AL58" s="597"/>
    </row>
    <row r="59" spans="1:109" ht="18" customHeight="1" thickBot="1">
      <c r="B59" s="43" t="s">
        <v>109</v>
      </c>
      <c r="C59" s="43"/>
      <c r="D59" s="43"/>
      <c r="E59" s="591">
        <f>SUM(E13:E58)</f>
        <v>20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590">
        <f>SUM(R13:R56)</f>
        <v>0</v>
      </c>
      <c r="T59" s="10"/>
      <c r="U59" s="10"/>
      <c r="V59" s="10"/>
      <c r="W59" s="10"/>
      <c r="X59" s="10"/>
      <c r="Y59" s="10"/>
      <c r="Z59" s="5"/>
      <c r="AA59" s="10"/>
      <c r="AB59" s="5"/>
      <c r="AC59" s="592">
        <f>SUM(AD13:AD56)</f>
        <v>0</v>
      </c>
      <c r="AD59" s="97"/>
      <c r="AE59" s="584">
        <f>SUM(AJ13:AJ56)</f>
        <v>0</v>
      </c>
      <c r="AF59" s="926"/>
      <c r="AG59" s="926"/>
      <c r="AH59" s="926"/>
      <c r="AI59" s="926"/>
      <c r="AJ59" s="598"/>
      <c r="AK59" s="584">
        <f>SUM(AL13:AL56)</f>
        <v>0</v>
      </c>
      <c r="AL59" s="598"/>
      <c r="AM59" s="81"/>
      <c r="AN59" s="97"/>
      <c r="AO59" s="584">
        <f>SUM(AP13:AP56)</f>
        <v>0</v>
      </c>
      <c r="AP59" s="97"/>
      <c r="AQ59" s="584">
        <f>SUM(AR13:AR56)</f>
        <v>0</v>
      </c>
      <c r="AR59" s="97"/>
      <c r="AS59" s="81"/>
      <c r="AT59" s="97"/>
      <c r="AU59" s="81"/>
      <c r="AV59" s="97"/>
      <c r="AW59" s="584">
        <f>SUM(AX13:AX56)</f>
        <v>0</v>
      </c>
      <c r="AX59" s="97"/>
      <c r="AY59" s="584">
        <f>SUM(AZ13:AZ56)</f>
        <v>0</v>
      </c>
      <c r="AZ59" s="97"/>
      <c r="BA59" s="585">
        <f>ROUNDUP(SUM(BA13:BA56),0)</f>
        <v>0</v>
      </c>
      <c r="BB59" s="97"/>
      <c r="BC59" s="584">
        <f>SUM(BD13:BD56)</f>
        <v>0</v>
      </c>
      <c r="BD59" s="97"/>
      <c r="BE59" s="981">
        <f>SUM(BF13:BF56)</f>
        <v>0</v>
      </c>
      <c r="BF59" s="110"/>
      <c r="BG59" s="897"/>
      <c r="BH59" s="983"/>
      <c r="BI59" s="897"/>
      <c r="BJ59" s="983"/>
      <c r="BK59" s="897">
        <f>SUM(BK13:BK57)</f>
        <v>0</v>
      </c>
      <c r="CC59" s="886">
        <f>SUM(CC13:CC58)</f>
        <v>0</v>
      </c>
      <c r="CJ59" s="988">
        <f>SUM(CJ13:CJ58)</f>
        <v>0</v>
      </c>
    </row>
    <row r="60" spans="1:109" ht="12.75" customHeight="1">
      <c r="S60" s="3"/>
      <c r="T60" s="3"/>
      <c r="U60" s="3"/>
      <c r="V60" s="3"/>
      <c r="W60" s="40"/>
      <c r="X60" s="3"/>
      <c r="Y60" s="3"/>
      <c r="AA60" s="6"/>
      <c r="AC60" s="7"/>
      <c r="AK60" s="4"/>
    </row>
    <row r="61" spans="1:109" ht="3.75" customHeight="1"/>
    <row r="62" spans="1:109" ht="12.75" customHeight="1">
      <c r="B62" s="4"/>
      <c r="C62" s="4"/>
      <c r="AQ62" s="46"/>
      <c r="AY62" s="46"/>
      <c r="BE62" s="110"/>
    </row>
    <row r="63" spans="1:109" ht="12.75" customHeight="1">
      <c r="BE63" s="982"/>
    </row>
    <row r="64" spans="1:109" ht="3.75" customHeight="1">
      <c r="D64" s="47"/>
      <c r="E64" s="48"/>
      <c r="F64" s="49"/>
      <c r="G64" s="49"/>
      <c r="H64" s="49"/>
      <c r="I64" s="49"/>
      <c r="J64" s="49"/>
      <c r="K64" s="50"/>
      <c r="L64" s="50"/>
      <c r="M64" s="50"/>
      <c r="N64" s="50"/>
      <c r="O64" s="50"/>
      <c r="P64" s="50"/>
      <c r="Q64" s="50"/>
      <c r="R64" s="50"/>
      <c r="S64" s="49"/>
      <c r="T64" s="49"/>
      <c r="U64" s="49"/>
      <c r="V64" s="49"/>
      <c r="W64" s="51"/>
    </row>
    <row r="65" spans="2:41" ht="19.5" customHeight="1">
      <c r="D65" s="52"/>
      <c r="E65" s="1009" t="s">
        <v>193</v>
      </c>
      <c r="F65" s="1010"/>
      <c r="G65" s="1010"/>
      <c r="H65" s="1010"/>
      <c r="I65" s="1010"/>
      <c r="J65" s="1010"/>
      <c r="K65" s="1010"/>
      <c r="L65" s="1010"/>
      <c r="M65" s="1010"/>
      <c r="N65" s="1010"/>
      <c r="O65" s="1010"/>
      <c r="P65" s="1010"/>
      <c r="Q65" s="1010"/>
      <c r="R65" s="1010"/>
      <c r="S65" s="1010"/>
      <c r="T65" s="1010"/>
      <c r="U65" s="1010"/>
      <c r="V65" s="1010"/>
      <c r="W65" s="1010"/>
      <c r="X65" s="1010"/>
      <c r="Y65" s="1010"/>
      <c r="Z65" s="1010"/>
      <c r="AA65" s="1010"/>
      <c r="AB65" s="1010"/>
      <c r="AC65" s="1011"/>
    </row>
    <row r="66" spans="2:41" ht="3.75" customHeight="1">
      <c r="D66" s="52"/>
      <c r="E66" s="124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110"/>
      <c r="X66" s="78"/>
      <c r="Y66" s="78"/>
      <c r="AA66" s="4"/>
      <c r="AC66" s="114"/>
    </row>
    <row r="67" spans="2:41" ht="12.75" customHeight="1">
      <c r="B67" s="4"/>
      <c r="D67" s="52"/>
      <c r="E67" s="125" t="s">
        <v>197</v>
      </c>
      <c r="F67" s="78"/>
      <c r="G67" s="78" t="s">
        <v>190</v>
      </c>
      <c r="H67" s="78"/>
      <c r="I67" s="78"/>
      <c r="J67" s="78"/>
      <c r="K67" s="78"/>
      <c r="L67" s="78"/>
      <c r="M67" s="78"/>
      <c r="N67" s="78"/>
      <c r="O67" s="78"/>
      <c r="P67" s="78"/>
      <c r="Q67" s="1017">
        <v>365</v>
      </c>
      <c r="R67" s="1017"/>
      <c r="S67" s="126"/>
      <c r="T67" s="78"/>
      <c r="U67" s="78"/>
      <c r="V67" s="78"/>
      <c r="W67" s="110"/>
      <c r="X67" s="78"/>
      <c r="Y67" s="78"/>
      <c r="AA67" s="4"/>
      <c r="AC67" s="114"/>
      <c r="AG67" s="936"/>
    </row>
    <row r="68" spans="2:41" ht="3.75" customHeight="1">
      <c r="B68" s="4"/>
      <c r="D68" s="52"/>
      <c r="E68" s="12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126"/>
      <c r="T68" s="78"/>
      <c r="U68" s="78"/>
      <c r="V68" s="78"/>
      <c r="W68" s="110"/>
      <c r="X68" s="78"/>
      <c r="Y68" s="78"/>
      <c r="AA68" s="4"/>
      <c r="AC68" s="114"/>
    </row>
    <row r="69" spans="2:41" ht="12.75" customHeight="1">
      <c r="B69" s="4"/>
      <c r="D69" s="53"/>
      <c r="E69" s="125" t="s">
        <v>198</v>
      </c>
      <c r="F69" s="78"/>
      <c r="G69" s="78" t="s">
        <v>196</v>
      </c>
      <c r="H69" s="78"/>
      <c r="I69" s="78"/>
      <c r="J69" s="78"/>
      <c r="K69" s="78"/>
      <c r="L69" s="78"/>
      <c r="M69" s="78"/>
      <c r="N69" s="78"/>
      <c r="O69" s="78"/>
      <c r="P69" s="78"/>
      <c r="Q69" s="1018">
        <f>ROUND(Q67/7,2)</f>
        <v>52.14</v>
      </c>
      <c r="R69" s="1018"/>
      <c r="S69" s="111" t="s">
        <v>204</v>
      </c>
      <c r="T69" s="78"/>
      <c r="U69" s="78"/>
      <c r="V69" s="78"/>
      <c r="W69" s="110"/>
      <c r="X69" s="78"/>
      <c r="Y69" s="78"/>
      <c r="AA69" s="4"/>
      <c r="AC69" s="114"/>
      <c r="AG69" s="936"/>
      <c r="AO69" s="936"/>
    </row>
    <row r="70" spans="2:41" ht="5.25" customHeight="1">
      <c r="B70" s="4"/>
      <c r="D70" s="53"/>
      <c r="E70" s="125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67"/>
      <c r="R70" s="67"/>
      <c r="S70" s="111"/>
      <c r="T70" s="78"/>
      <c r="U70" s="78"/>
      <c r="V70" s="78"/>
      <c r="W70" s="110"/>
      <c r="X70" s="78"/>
      <c r="Y70" s="78"/>
      <c r="AA70" s="4"/>
      <c r="AC70" s="114"/>
    </row>
    <row r="71" spans="2:41" ht="11.25" customHeight="1">
      <c r="B71" s="4"/>
      <c r="D71" s="53"/>
      <c r="E71" s="125" t="s">
        <v>199</v>
      </c>
      <c r="F71" s="78"/>
      <c r="G71" s="78" t="s">
        <v>456</v>
      </c>
      <c r="H71" s="78"/>
      <c r="I71" s="78"/>
      <c r="J71" s="78"/>
      <c r="K71" s="78"/>
      <c r="L71" s="78"/>
      <c r="M71" s="78"/>
      <c r="N71" s="78"/>
      <c r="O71" s="78"/>
      <c r="P71" s="78"/>
      <c r="Q71" s="1019">
        <v>6</v>
      </c>
      <c r="R71" s="1020"/>
      <c r="S71" s="111" t="s">
        <v>458</v>
      </c>
      <c r="T71" s="78"/>
      <c r="U71" s="78"/>
      <c r="V71" s="78"/>
      <c r="W71" s="110"/>
      <c r="X71" s="78"/>
      <c r="Y71" s="78"/>
      <c r="AA71" s="4"/>
      <c r="AC71" s="114"/>
      <c r="AG71" s="936"/>
      <c r="AO71" s="936"/>
    </row>
    <row r="72" spans="2:41" ht="3.75" customHeight="1">
      <c r="B72" s="4"/>
      <c r="D72" s="53"/>
      <c r="E72" s="125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111"/>
      <c r="T72" s="78"/>
      <c r="U72" s="78"/>
      <c r="V72" s="78"/>
      <c r="W72" s="110"/>
      <c r="X72" s="78"/>
      <c r="Y72" s="78"/>
      <c r="AA72" s="4"/>
      <c r="AC72" s="114"/>
    </row>
    <row r="73" spans="2:41" ht="12.75" customHeight="1">
      <c r="B73" s="4"/>
      <c r="D73" s="53"/>
      <c r="E73" s="125" t="s">
        <v>200</v>
      </c>
      <c r="F73" s="78"/>
      <c r="G73" s="78" t="s">
        <v>195</v>
      </c>
      <c r="H73" s="78"/>
      <c r="I73" s="78"/>
      <c r="J73" s="78"/>
      <c r="K73" s="78"/>
      <c r="L73" s="78"/>
      <c r="M73" s="78"/>
      <c r="N73" s="78"/>
      <c r="O73" s="78"/>
      <c r="P73" s="78"/>
      <c r="Q73" s="1004">
        <f>ROUND(Q69*Q71,2)</f>
        <v>312.83999999999997</v>
      </c>
      <c r="R73" s="1004"/>
      <c r="S73" s="111" t="s">
        <v>457</v>
      </c>
      <c r="T73" s="78"/>
      <c r="U73" s="78"/>
      <c r="V73" s="78"/>
      <c r="W73" s="110"/>
      <c r="X73" s="78"/>
      <c r="Y73" s="78"/>
      <c r="AA73" s="4"/>
      <c r="AC73" s="114"/>
      <c r="AG73" s="936"/>
      <c r="AO73" s="927"/>
    </row>
    <row r="74" spans="2:41" ht="3.75" customHeight="1">
      <c r="B74" s="4"/>
      <c r="D74" s="53"/>
      <c r="E74" s="125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111"/>
      <c r="T74" s="78"/>
      <c r="U74" s="78"/>
      <c r="V74" s="78"/>
      <c r="W74" s="110"/>
      <c r="X74" s="78"/>
      <c r="Y74" s="78"/>
      <c r="AA74" s="4"/>
      <c r="AC74" s="114"/>
    </row>
    <row r="75" spans="2:41" ht="12.75" customHeight="1">
      <c r="B75" s="4"/>
      <c r="D75" s="53"/>
      <c r="E75" s="125" t="s">
        <v>201</v>
      </c>
      <c r="F75" s="78"/>
      <c r="G75" s="78" t="s">
        <v>191</v>
      </c>
      <c r="H75" s="78"/>
      <c r="I75" s="78"/>
      <c r="J75" s="78"/>
      <c r="K75" s="78"/>
      <c r="L75" s="78"/>
      <c r="M75" s="78"/>
      <c r="N75" s="78"/>
      <c r="O75" s="78"/>
      <c r="P75" s="78"/>
      <c r="Q75" s="1018">
        <v>12</v>
      </c>
      <c r="R75" s="1018"/>
      <c r="S75" s="111"/>
      <c r="T75" s="78"/>
      <c r="U75" s="78"/>
      <c r="V75" s="78"/>
      <c r="W75" s="110"/>
      <c r="X75" s="78"/>
      <c r="Y75" s="78"/>
      <c r="AA75" s="4"/>
      <c r="AC75" s="114"/>
      <c r="AO75" s="928"/>
    </row>
    <row r="76" spans="2:41" ht="3.75" customHeight="1">
      <c r="B76" s="4"/>
      <c r="D76" s="53"/>
      <c r="E76" s="125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111"/>
      <c r="T76" s="78"/>
      <c r="U76" s="78"/>
      <c r="V76" s="78"/>
      <c r="W76" s="110"/>
      <c r="X76" s="78"/>
      <c r="Y76" s="78"/>
      <c r="AA76" s="4"/>
      <c r="AC76" s="114"/>
    </row>
    <row r="77" spans="2:41" ht="12.75" customHeight="1">
      <c r="B77" s="4"/>
      <c r="D77" s="53"/>
      <c r="E77" s="125" t="s">
        <v>202</v>
      </c>
      <c r="F77" s="78"/>
      <c r="G77" s="78" t="s">
        <v>194</v>
      </c>
      <c r="H77" s="78"/>
      <c r="I77" s="78"/>
      <c r="J77" s="78"/>
      <c r="K77" s="78"/>
      <c r="L77" s="78"/>
      <c r="M77" s="78"/>
      <c r="N77" s="78"/>
      <c r="O77" s="78"/>
      <c r="P77" s="78"/>
      <c r="Q77" s="1002">
        <v>12</v>
      </c>
      <c r="R77" s="1003"/>
      <c r="S77" s="111" t="s">
        <v>205</v>
      </c>
      <c r="T77" s="78"/>
      <c r="U77" s="78"/>
      <c r="V77" s="78"/>
      <c r="W77" s="110"/>
      <c r="X77" s="78"/>
      <c r="Y77" s="78"/>
      <c r="AA77" s="4"/>
      <c r="AC77" s="114"/>
    </row>
    <row r="78" spans="2:41" ht="3.75" customHeight="1">
      <c r="B78" s="4"/>
      <c r="D78" s="53"/>
      <c r="E78" s="125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111"/>
      <c r="T78" s="78"/>
      <c r="U78" s="78"/>
      <c r="V78" s="78"/>
      <c r="W78" s="110"/>
      <c r="X78" s="78"/>
      <c r="Y78" s="78"/>
      <c r="AA78" s="4"/>
      <c r="AC78" s="114"/>
    </row>
    <row r="79" spans="2:41" ht="12.75" customHeight="1">
      <c r="B79" s="4"/>
      <c r="D79" s="53"/>
      <c r="E79" s="125" t="s">
        <v>203</v>
      </c>
      <c r="F79" s="78"/>
      <c r="G79" s="78" t="s">
        <v>192</v>
      </c>
      <c r="H79" s="78"/>
      <c r="I79" s="78"/>
      <c r="J79" s="78"/>
      <c r="K79" s="78"/>
      <c r="L79" s="78"/>
      <c r="M79" s="78"/>
      <c r="N79" s="78"/>
      <c r="O79" s="78"/>
      <c r="P79" s="78"/>
      <c r="Q79" s="1004">
        <f>ROUND(Q73-Q77,2)</f>
        <v>300.83999999999997</v>
      </c>
      <c r="R79" s="1004"/>
      <c r="S79" s="111" t="s">
        <v>460</v>
      </c>
      <c r="T79" s="78"/>
      <c r="U79" s="78"/>
      <c r="V79" s="78"/>
      <c r="W79" s="110"/>
      <c r="X79" s="78"/>
      <c r="Y79" s="78"/>
      <c r="AA79" s="4"/>
      <c r="AC79" s="114"/>
    </row>
    <row r="80" spans="2:41" ht="3.75" customHeight="1">
      <c r="B80" s="4"/>
      <c r="D80" s="53"/>
      <c r="E80" s="125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111"/>
      <c r="T80" s="78"/>
      <c r="U80" s="78"/>
      <c r="V80" s="78"/>
      <c r="W80" s="110"/>
      <c r="X80" s="78"/>
      <c r="Y80" s="78"/>
      <c r="AA80" s="4"/>
      <c r="AC80" s="114"/>
    </row>
    <row r="81" spans="2:29" ht="12.75" customHeight="1">
      <c r="B81" s="4"/>
      <c r="D81" s="53"/>
      <c r="E81" s="127" t="s">
        <v>410</v>
      </c>
      <c r="F81" s="115"/>
      <c r="G81" s="115" t="s">
        <v>1</v>
      </c>
      <c r="H81" s="115"/>
      <c r="I81" s="115"/>
      <c r="J81" s="115"/>
      <c r="K81" s="115"/>
      <c r="L81" s="115"/>
      <c r="M81" s="115"/>
      <c r="N81" s="115"/>
      <c r="O81" s="115"/>
      <c r="P81" s="115"/>
      <c r="Q81" s="1016">
        <f>ROUND(Q79/12,0)</f>
        <v>25</v>
      </c>
      <c r="R81" s="1016"/>
      <c r="S81" s="116" t="s">
        <v>461</v>
      </c>
      <c r="T81" s="115"/>
      <c r="U81" s="115"/>
      <c r="V81" s="115"/>
      <c r="W81" s="117"/>
      <c r="X81" s="115"/>
      <c r="Y81" s="115"/>
      <c r="Z81" s="118"/>
      <c r="AA81" s="118"/>
      <c r="AB81" s="118"/>
      <c r="AC81" s="119"/>
    </row>
    <row r="82" spans="2:29" ht="3.75" customHeight="1">
      <c r="D82" s="53"/>
      <c r="E82" s="112"/>
      <c r="F82" s="66"/>
      <c r="G82" s="78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113"/>
      <c r="T82" s="78"/>
      <c r="U82" s="78"/>
      <c r="V82" s="78"/>
      <c r="W82" s="110"/>
      <c r="X82" s="78"/>
      <c r="Y82" s="78"/>
    </row>
    <row r="83" spans="2:29" ht="12.75" customHeight="1" thickBot="1">
      <c r="D83" s="54"/>
      <c r="E83" s="45"/>
      <c r="G83" s="4"/>
    </row>
    <row r="84" spans="2:29" ht="3.75" customHeight="1"/>
    <row r="87" spans="2:29" ht="12.75" customHeight="1">
      <c r="E87" s="1022" t="s">
        <v>443</v>
      </c>
      <c r="F87" s="1023"/>
      <c r="G87" s="1023"/>
      <c r="H87" s="1023"/>
      <c r="I87" s="1023"/>
      <c r="J87" s="1023"/>
      <c r="K87" s="1023"/>
      <c r="L87" s="1023"/>
      <c r="M87" s="1023"/>
      <c r="N87" s="1023"/>
      <c r="O87" s="1023"/>
      <c r="P87" s="1023"/>
      <c r="Q87" s="1023"/>
      <c r="R87" s="1023"/>
      <c r="S87" s="1024"/>
    </row>
    <row r="88" spans="2:29" ht="12.75" customHeight="1">
      <c r="E88" s="128" t="s">
        <v>197</v>
      </c>
      <c r="F88" s="106"/>
      <c r="G88" s="1015" t="s">
        <v>444</v>
      </c>
      <c r="H88" s="1015"/>
      <c r="I88" s="1015"/>
      <c r="J88" s="1015"/>
      <c r="K88" s="1015"/>
      <c r="L88" s="1015"/>
      <c r="M88" s="1015"/>
      <c r="N88" s="106"/>
      <c r="O88" s="134"/>
      <c r="P88" s="121"/>
      <c r="Q88" s="121"/>
      <c r="R88" s="132"/>
      <c r="S88" s="133"/>
    </row>
    <row r="89" spans="2:29" ht="4.5" customHeight="1">
      <c r="E89" s="128"/>
      <c r="F89" s="106"/>
      <c r="G89" s="129"/>
      <c r="H89" s="129"/>
      <c r="I89" s="129"/>
      <c r="J89" s="129"/>
      <c r="K89" s="129"/>
      <c r="L89" s="129"/>
      <c r="M89" s="129"/>
      <c r="N89" s="106"/>
      <c r="O89" s="130"/>
      <c r="P89" s="120"/>
      <c r="Q89" s="120"/>
      <c r="R89" s="132"/>
      <c r="S89" s="133"/>
    </row>
    <row r="90" spans="2:29" ht="11.25" customHeight="1">
      <c r="E90" s="128" t="s">
        <v>198</v>
      </c>
      <c r="F90" s="106"/>
      <c r="G90" s="1015" t="s">
        <v>445</v>
      </c>
      <c r="H90" s="1015"/>
      <c r="I90" s="1015"/>
      <c r="J90" s="1015"/>
      <c r="K90" s="1015"/>
      <c r="L90" s="1015"/>
      <c r="M90" s="1015"/>
      <c r="N90" s="106"/>
      <c r="O90" s="134">
        <v>3</v>
      </c>
      <c r="P90" s="120"/>
      <c r="Q90" s="123"/>
      <c r="R90" s="132"/>
      <c r="S90" s="133"/>
    </row>
    <row r="91" spans="2:29" ht="11.25" customHeight="1">
      <c r="E91" s="128"/>
      <c r="F91" s="106"/>
      <c r="G91" s="1015" t="s">
        <v>446</v>
      </c>
      <c r="H91" s="1015"/>
      <c r="I91" s="1015"/>
      <c r="J91" s="1015"/>
      <c r="K91" s="1015"/>
      <c r="L91" s="1015"/>
      <c r="M91" s="1015"/>
      <c r="N91" s="106"/>
      <c r="O91" s="130"/>
      <c r="P91" s="120"/>
      <c r="Q91" s="123"/>
      <c r="R91" s="132"/>
      <c r="S91" s="133"/>
    </row>
    <row r="92" spans="2:29" ht="11.25" customHeight="1">
      <c r="E92" s="128" t="s">
        <v>199</v>
      </c>
      <c r="F92" s="1015" t="s">
        <v>447</v>
      </c>
      <c r="G92" s="1015"/>
      <c r="H92" s="1015"/>
      <c r="I92" s="1015"/>
      <c r="J92" s="1015"/>
      <c r="K92" s="1015"/>
      <c r="L92" s="1015"/>
      <c r="M92" s="1015"/>
      <c r="N92" s="106"/>
      <c r="O92" s="134">
        <v>2</v>
      </c>
      <c r="P92" s="120"/>
      <c r="Q92" s="123"/>
      <c r="R92" s="132"/>
      <c r="S92" s="133"/>
    </row>
    <row r="93" spans="2:29" ht="7.5" customHeight="1">
      <c r="E93" s="128"/>
      <c r="F93" s="106"/>
      <c r="G93" s="129"/>
      <c r="H93" s="129"/>
      <c r="I93" s="129"/>
      <c r="J93" s="129"/>
      <c r="K93" s="129"/>
      <c r="L93" s="129"/>
      <c r="M93" s="129"/>
      <c r="N93" s="106"/>
      <c r="O93" s="136"/>
      <c r="P93" s="120"/>
      <c r="Q93" s="123"/>
      <c r="R93" s="132"/>
      <c r="S93" s="133"/>
    </row>
    <row r="94" spans="2:29" ht="12.75" customHeight="1">
      <c r="E94" s="128" t="s">
        <v>200</v>
      </c>
      <c r="F94" s="106"/>
      <c r="G94" s="1015" t="s">
        <v>109</v>
      </c>
      <c r="H94" s="1015"/>
      <c r="I94" s="1015"/>
      <c r="J94" s="1015"/>
      <c r="K94" s="1015"/>
      <c r="L94" s="1015"/>
      <c r="M94" s="1015"/>
      <c r="N94" s="106"/>
      <c r="O94" s="130">
        <f>O90+O92</f>
        <v>5</v>
      </c>
      <c r="P94" s="1026" t="s">
        <v>448</v>
      </c>
      <c r="Q94" s="1026"/>
      <c r="R94" s="132"/>
      <c r="S94" s="133"/>
    </row>
    <row r="95" spans="2:29" ht="6.75" customHeight="1">
      <c r="E95" s="128"/>
      <c r="F95" s="106"/>
      <c r="G95" s="129"/>
      <c r="H95" s="135"/>
      <c r="I95" s="106"/>
      <c r="J95" s="106"/>
      <c r="K95" s="106"/>
      <c r="L95" s="106"/>
      <c r="M95" s="106"/>
      <c r="N95" s="106"/>
      <c r="O95" s="130"/>
      <c r="P95" s="122"/>
      <c r="Q95" s="123"/>
      <c r="R95" s="132"/>
      <c r="S95" s="133"/>
    </row>
    <row r="96" spans="2:29" ht="12.75" customHeight="1">
      <c r="E96" s="128" t="s">
        <v>201</v>
      </c>
      <c r="F96" s="106"/>
      <c r="G96" s="1015" t="s">
        <v>449</v>
      </c>
      <c r="H96" s="1015"/>
      <c r="I96" s="1015"/>
      <c r="J96" s="1015"/>
      <c r="K96" s="1015"/>
      <c r="L96" s="1015"/>
      <c r="M96" s="1015"/>
      <c r="N96" s="106"/>
      <c r="O96" s="136">
        <f>(O88/O94)</f>
        <v>0</v>
      </c>
      <c r="P96" s="1026" t="s">
        <v>450</v>
      </c>
      <c r="Q96" s="1026"/>
      <c r="R96" s="132"/>
      <c r="S96" s="133"/>
    </row>
    <row r="97" spans="5:19" ht="4.5" customHeight="1">
      <c r="E97" s="128"/>
      <c r="F97" s="106"/>
      <c r="G97" s="129"/>
      <c r="H97" s="135"/>
      <c r="I97" s="106"/>
      <c r="J97" s="106"/>
      <c r="K97" s="106"/>
      <c r="L97" s="106"/>
      <c r="M97" s="106"/>
      <c r="N97" s="106"/>
      <c r="O97" s="131"/>
      <c r="P97" s="122"/>
      <c r="Q97" s="123"/>
      <c r="R97" s="132"/>
      <c r="S97" s="133"/>
    </row>
    <row r="98" spans="5:19" ht="12.75" customHeight="1">
      <c r="E98" s="137" t="s">
        <v>202</v>
      </c>
      <c r="F98" s="1025" t="s">
        <v>451</v>
      </c>
      <c r="G98" s="1025"/>
      <c r="H98" s="1025"/>
      <c r="I98" s="1025"/>
      <c r="J98" s="1025"/>
      <c r="K98" s="1025"/>
      <c r="L98" s="1025"/>
      <c r="M98" s="1025"/>
      <c r="N98" s="138"/>
      <c r="O98" s="139">
        <f>ROUNDUP(O90*O96,0)</f>
        <v>0</v>
      </c>
      <c r="P98" s="1021" t="s">
        <v>452</v>
      </c>
      <c r="Q98" s="1021"/>
      <c r="R98" s="140"/>
      <c r="S98" s="141"/>
    </row>
    <row r="99" spans="5:19" ht="12.75" customHeight="1">
      <c r="E99" s="107"/>
      <c r="F99" s="104"/>
      <c r="G99" s="105"/>
      <c r="H99" s="107"/>
      <c r="I99" s="108"/>
      <c r="J99" s="108"/>
      <c r="K99" s="107"/>
      <c r="L99" s="109"/>
      <c r="M99" s="109"/>
      <c r="N99" s="109"/>
      <c r="O99" s="109"/>
      <c r="P99" s="109"/>
      <c r="Q99" s="109"/>
    </row>
  </sheetData>
  <sheetProtection password="CADB" sheet="1" formatCells="0" formatColumns="0" formatRows="0"/>
  <mergeCells count="26">
    <mergeCell ref="P98:Q98"/>
    <mergeCell ref="E87:S87"/>
    <mergeCell ref="F98:M98"/>
    <mergeCell ref="F92:M92"/>
    <mergeCell ref="G94:M94"/>
    <mergeCell ref="G90:M90"/>
    <mergeCell ref="G91:M91"/>
    <mergeCell ref="G96:M96"/>
    <mergeCell ref="P96:Q96"/>
    <mergeCell ref="P94:Q94"/>
    <mergeCell ref="AS10:AU10"/>
    <mergeCell ref="I10:K10"/>
    <mergeCell ref="G88:M88"/>
    <mergeCell ref="Q81:R81"/>
    <mergeCell ref="Q67:R67"/>
    <mergeCell ref="Q73:R73"/>
    <mergeCell ref="Q75:R75"/>
    <mergeCell ref="Q69:R69"/>
    <mergeCell ref="Q71:R71"/>
    <mergeCell ref="K6:L6"/>
    <mergeCell ref="Q77:R77"/>
    <mergeCell ref="Q79:R79"/>
    <mergeCell ref="K8:L8"/>
    <mergeCell ref="O6:P6"/>
    <mergeCell ref="E65:AC65"/>
    <mergeCell ref="O8:P8"/>
  </mergeCells>
  <phoneticPr fontId="0" type="noConversion"/>
  <hyperlinks>
    <hyperlink ref="K5" location="Menu!F10" tooltip="Volta ao menu principal" display="Menu"/>
    <hyperlink ref="AA5" location="Benefícios!H14" tooltip="Benefícios" display="Próxima"/>
    <hyperlink ref="O5" location="Menu!F10" tooltip="Volta ao menu principal" display="Menu"/>
    <hyperlink ref="AE5" location="Benefícios!H14" tooltip="Benefícios" display="Próxima"/>
    <hyperlink ref="P5" location="Menu!F10" tooltip="Volta ao menu principal" display="Menu"/>
    <hyperlink ref="AJ5" location="Benefícios!H14" tooltip="Benefícios" display="Próxima"/>
    <hyperlink ref="AS5" location="Benefícios!H14" tooltip="Benefícios" display="Próxima"/>
    <hyperlink ref="AU5" location="Benefícios!H14" tooltip="Benefícios" display="Próxima"/>
    <hyperlink ref="BA5" location="Benefícios!H14" tooltip="Benefícios" display="Próxima"/>
  </hyperlinks>
  <printOptions horizontalCentered="1"/>
  <pageMargins left="0.39" right="0.2" top="0.66" bottom="0.62992125984251968" header="0.51181102362204722" footer="0.39370078740157483"/>
  <pageSetup paperSize="9" scale="68" orientation="landscape" blackAndWhite="1" horizontalDpi="300" verticalDpi="300" r:id="rId1"/>
  <headerFooter alignWithMargins="0">
    <oddFooter>&amp;R&amp;F</oddFooter>
  </headerFooter>
  <ignoredErrors>
    <ignoredError sqref="E59" formulaRange="1"/>
  </ignoredErrors>
  <legacyDrawing r:id="rId2"/>
  <webPublishItems count="1">
    <webPublishItem id="28527" divId="Plan_Modelo_28527" sourceType="sheet" destinationFile="J:\DAGC\DAGC 1\Plan_Limpeza_vigilancia_outros\Página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  <pageSetUpPr fitToPage="1"/>
  </sheetPr>
  <dimension ref="B1:V61"/>
  <sheetViews>
    <sheetView workbookViewId="0">
      <selection activeCell="O58" sqref="O58"/>
    </sheetView>
  </sheetViews>
  <sheetFormatPr defaultRowHeight="11.25"/>
  <cols>
    <col min="1" max="1" width="5.42578125" style="726" customWidth="1"/>
    <col min="2" max="2" width="8.42578125" style="727" customWidth="1"/>
    <col min="3" max="3" width="25.7109375" style="727" customWidth="1"/>
    <col min="4" max="4" width="31.28515625" style="728" customWidth="1"/>
    <col min="5" max="5" width="6.85546875" style="729" customWidth="1"/>
    <col min="6" max="6" width="7" style="729" customWidth="1"/>
    <col min="7" max="7" width="6.140625" style="729" customWidth="1"/>
    <col min="8" max="8" width="7.140625" style="729" customWidth="1"/>
    <col min="9" max="9" width="6" style="729" customWidth="1"/>
    <col min="10" max="10" width="7.7109375" style="729" hidden="1" customWidth="1"/>
    <col min="11" max="13" width="7.5703125" style="729" hidden="1" customWidth="1"/>
    <col min="14" max="15" width="7.5703125" style="729" customWidth="1"/>
    <col min="16" max="16" width="8" style="729" customWidth="1"/>
    <col min="17" max="17" width="9.28515625" style="726" customWidth="1"/>
    <col min="18" max="18" width="7.85546875" style="726" customWidth="1"/>
    <col min="19" max="19" width="8" style="726" customWidth="1"/>
    <col min="20" max="20" width="6.42578125" style="726" customWidth="1"/>
    <col min="21" max="21" width="0.140625" style="726" customWidth="1"/>
    <col min="22" max="22" width="4.42578125" style="876" hidden="1" customWidth="1"/>
    <col min="23" max="23" width="34.28515625" style="726" customWidth="1"/>
    <col min="24" max="16384" width="9.140625" style="726"/>
  </cols>
  <sheetData>
    <row r="1" spans="2:22" s="759" customFormat="1" ht="8.25" customHeight="1"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757"/>
      <c r="T1" s="757"/>
      <c r="U1" s="758"/>
      <c r="V1" s="875"/>
    </row>
    <row r="2" spans="2:22" s="759" customFormat="1" ht="15.75">
      <c r="D2" s="758"/>
      <c r="E2" s="758"/>
      <c r="F2" s="758"/>
      <c r="G2" s="758"/>
      <c r="H2" s="758"/>
      <c r="I2" s="760" t="s">
        <v>496</v>
      </c>
      <c r="K2" s="758"/>
      <c r="L2" s="758"/>
      <c r="M2" s="758"/>
      <c r="N2" s="761"/>
      <c r="O2" s="758"/>
      <c r="P2" s="758"/>
      <c r="Q2" s="758"/>
      <c r="R2" s="758"/>
      <c r="S2" s="758"/>
      <c r="T2" s="758"/>
      <c r="U2" s="758"/>
      <c r="V2" s="875"/>
    </row>
    <row r="3" spans="2:22" s="759" customFormat="1" ht="6.75" customHeight="1" thickBot="1">
      <c r="B3" s="762"/>
      <c r="C3" s="762"/>
      <c r="D3" s="763"/>
      <c r="E3" s="764"/>
      <c r="F3" s="764"/>
      <c r="G3" s="758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V3" s="876"/>
    </row>
    <row r="4" spans="2:22" s="759" customFormat="1" ht="12.75" thickTop="1" thickBot="1">
      <c r="B4" s="762"/>
      <c r="C4" s="762"/>
      <c r="D4" s="763"/>
      <c r="E4" s="765"/>
      <c r="F4" s="766" t="s">
        <v>497</v>
      </c>
      <c r="G4" s="1034" t="s">
        <v>443</v>
      </c>
      <c r="H4" s="1035"/>
      <c r="I4" s="1036"/>
      <c r="J4" s="766" t="s">
        <v>497</v>
      </c>
      <c r="K4" s="767" t="s">
        <v>443</v>
      </c>
      <c r="L4" s="768"/>
      <c r="M4" s="768"/>
      <c r="N4" s="773"/>
      <c r="O4" s="774">
        <v>0.5</v>
      </c>
      <c r="P4" s="765"/>
      <c r="V4" s="876"/>
    </row>
    <row r="5" spans="2:22" s="759" customFormat="1" ht="12.75" customHeight="1" thickTop="1" thickBot="1">
      <c r="B5" s="1037" t="s">
        <v>87</v>
      </c>
      <c r="C5" s="1038"/>
      <c r="D5" s="1039"/>
      <c r="E5" s="769" t="s">
        <v>498</v>
      </c>
      <c r="F5" s="730">
        <v>8</v>
      </c>
      <c r="G5" s="731">
        <v>1</v>
      </c>
      <c r="H5" s="770" t="s">
        <v>499</v>
      </c>
      <c r="I5" s="732">
        <v>1</v>
      </c>
      <c r="J5" s="730">
        <v>6</v>
      </c>
      <c r="K5" s="731">
        <v>6</v>
      </c>
      <c r="L5" s="771" t="s">
        <v>499</v>
      </c>
      <c r="M5" s="733">
        <v>1</v>
      </c>
      <c r="N5" s="775">
        <f>IF(K5&gt;0,ROUNDUP((K5*(30/(K5+M5))),0),0)</f>
        <v>26</v>
      </c>
      <c r="O5" s="776">
        <f>IF(N5&gt;0,30-N5,0)</f>
        <v>4</v>
      </c>
      <c r="P5" s="1043" t="s">
        <v>109</v>
      </c>
      <c r="Q5" s="1045" t="s">
        <v>573</v>
      </c>
      <c r="R5" s="1045" t="s">
        <v>574</v>
      </c>
      <c r="S5" s="1043" t="s">
        <v>500</v>
      </c>
      <c r="T5" s="1045" t="s">
        <v>501</v>
      </c>
      <c r="V5" s="876"/>
    </row>
    <row r="6" spans="2:22" s="759" customFormat="1" ht="37.5" customHeight="1" thickTop="1" thickBot="1">
      <c r="B6" s="772" t="s">
        <v>502</v>
      </c>
      <c r="C6" s="888" t="s">
        <v>503</v>
      </c>
      <c r="D6" s="885" t="str">
        <f>Efetivo!B10</f>
        <v>Cargo / Função</v>
      </c>
      <c r="E6" s="772" t="s">
        <v>504</v>
      </c>
      <c r="F6" s="772" t="s">
        <v>505</v>
      </c>
      <c r="G6" s="772" t="s">
        <v>633</v>
      </c>
      <c r="H6" s="772" t="s">
        <v>634</v>
      </c>
      <c r="I6" s="772"/>
      <c r="J6" s="772" t="s">
        <v>506</v>
      </c>
      <c r="K6" s="772" t="s">
        <v>507</v>
      </c>
      <c r="L6" s="772" t="s">
        <v>508</v>
      </c>
      <c r="M6" s="772" t="s">
        <v>509</v>
      </c>
      <c r="N6" s="772"/>
      <c r="O6" s="772"/>
      <c r="P6" s="1044"/>
      <c r="Q6" s="1046"/>
      <c r="R6" s="1046"/>
      <c r="S6" s="1044"/>
      <c r="T6" s="1046"/>
      <c r="V6" s="876"/>
    </row>
    <row r="7" spans="2:22" ht="24" thickTop="1" thickBot="1">
      <c r="B7" s="742" t="s">
        <v>630</v>
      </c>
      <c r="C7" s="742" t="s">
        <v>630</v>
      </c>
      <c r="D7" s="877" t="str">
        <f>Efetivo!B13</f>
        <v>Vigilante Patrulha 05 Eixo Viário Móvel DIURNO</v>
      </c>
      <c r="E7" s="782"/>
      <c r="F7" s="782"/>
      <c r="G7" s="782">
        <v>2</v>
      </c>
      <c r="H7" s="782"/>
      <c r="I7" s="782"/>
      <c r="J7" s="783"/>
      <c r="K7" s="782"/>
      <c r="L7" s="782"/>
      <c r="M7" s="782"/>
      <c r="N7" s="782"/>
      <c r="O7" s="782"/>
      <c r="P7" s="753">
        <f t="shared" ref="P7:P45" si="0">SUM(E7:O7)</f>
        <v>2</v>
      </c>
      <c r="Q7" s="742" t="s">
        <v>631</v>
      </c>
      <c r="R7" s="742" t="s">
        <v>631</v>
      </c>
      <c r="S7" s="742" t="s">
        <v>632</v>
      </c>
      <c r="T7" s="750">
        <f>IF(Efetivo!E13&gt;0,Efetivo!E13,0)</f>
        <v>2</v>
      </c>
      <c r="V7" s="876">
        <f>IF(R7&lt;&gt;0,1,0)</f>
        <v>1</v>
      </c>
    </row>
    <row r="8" spans="2:22" ht="24" thickTop="1" thickBot="1">
      <c r="B8" s="743" t="s">
        <v>630</v>
      </c>
      <c r="C8" s="743" t="s">
        <v>630</v>
      </c>
      <c r="D8" s="878" t="str">
        <f>Efetivo!B14</f>
        <v>Vigilante Patrulha 05 Eixo Viário Móvel NOTURNO</v>
      </c>
      <c r="E8" s="784"/>
      <c r="F8" s="784"/>
      <c r="G8" s="782"/>
      <c r="H8" s="782">
        <v>2</v>
      </c>
      <c r="I8" s="785"/>
      <c r="J8" s="785"/>
      <c r="K8" s="784"/>
      <c r="L8" s="784"/>
      <c r="M8" s="784"/>
      <c r="N8" s="784"/>
      <c r="O8" s="784"/>
      <c r="P8" s="754">
        <f t="shared" si="0"/>
        <v>2</v>
      </c>
      <c r="Q8" s="743" t="s">
        <v>631</v>
      </c>
      <c r="R8" s="743" t="s">
        <v>631</v>
      </c>
      <c r="S8" s="743" t="s">
        <v>632</v>
      </c>
      <c r="T8" s="751">
        <f>IF(Efetivo!E14&gt;0,Efetivo!E14,0)</f>
        <v>2</v>
      </c>
      <c r="V8" s="876">
        <f t="shared" ref="V8:V50" si="1">IF(R8&lt;&gt;0,1,0)</f>
        <v>1</v>
      </c>
    </row>
    <row r="9" spans="2:22" ht="24" thickTop="1" thickBot="1">
      <c r="B9" s="743" t="str">
        <f>B8</f>
        <v>AIRJ</v>
      </c>
      <c r="C9" s="743" t="s">
        <v>630</v>
      </c>
      <c r="D9" s="878" t="str">
        <f>Efetivo!B15</f>
        <v>Vigilante Patrulha 06 Sistema 15 x 33 DIURNO</v>
      </c>
      <c r="E9" s="784"/>
      <c r="F9" s="784"/>
      <c r="G9" s="782">
        <v>2</v>
      </c>
      <c r="H9" s="782"/>
      <c r="I9" s="785"/>
      <c r="J9" s="785"/>
      <c r="K9" s="784"/>
      <c r="L9" s="784"/>
      <c r="M9" s="784"/>
      <c r="N9" s="784"/>
      <c r="O9" s="784"/>
      <c r="P9" s="754">
        <f t="shared" si="0"/>
        <v>2</v>
      </c>
      <c r="Q9" s="743" t="s">
        <v>631</v>
      </c>
      <c r="R9" s="743" t="s">
        <v>631</v>
      </c>
      <c r="S9" s="743" t="str">
        <f>S8</f>
        <v>H24</v>
      </c>
      <c r="T9" s="751">
        <f>IF(Efetivo!E15&gt;0,Efetivo!E15,0)</f>
        <v>2</v>
      </c>
      <c r="V9" s="876">
        <f t="shared" si="1"/>
        <v>1</v>
      </c>
    </row>
    <row r="10" spans="2:22" ht="24" thickTop="1" thickBot="1">
      <c r="B10" s="743" t="str">
        <f t="shared" ref="B10:B18" si="2">B9</f>
        <v>AIRJ</v>
      </c>
      <c r="C10" s="743" t="s">
        <v>630</v>
      </c>
      <c r="D10" s="878" t="str">
        <f>Efetivo!B16</f>
        <v>Vigilante Patrulha 06 Sistema 15 x 33 NOTURNO</v>
      </c>
      <c r="E10" s="784"/>
      <c r="F10" s="784"/>
      <c r="G10" s="782"/>
      <c r="H10" s="782">
        <v>2</v>
      </c>
      <c r="I10" s="785"/>
      <c r="J10" s="785"/>
      <c r="K10" s="784"/>
      <c r="L10" s="784"/>
      <c r="M10" s="784"/>
      <c r="N10" s="784"/>
      <c r="O10" s="784"/>
      <c r="P10" s="754">
        <f t="shared" si="0"/>
        <v>2</v>
      </c>
      <c r="Q10" s="743" t="s">
        <v>631</v>
      </c>
      <c r="R10" s="743" t="s">
        <v>631</v>
      </c>
      <c r="S10" s="743" t="str">
        <f t="shared" ref="S10:S18" si="3">S9</f>
        <v>H24</v>
      </c>
      <c r="T10" s="751">
        <f>IF(Efetivo!E16&gt;0,Efetivo!E16,0)</f>
        <v>2</v>
      </c>
      <c r="V10" s="876">
        <f t="shared" si="1"/>
        <v>1</v>
      </c>
    </row>
    <row r="11" spans="2:22" ht="24" thickTop="1" thickBot="1">
      <c r="B11" s="743" t="str">
        <f t="shared" si="2"/>
        <v>AIRJ</v>
      </c>
      <c r="C11" s="743" t="s">
        <v>630</v>
      </c>
      <c r="D11" s="878" t="str">
        <f>Efetivo!B17</f>
        <v>Vigilante Patrulha 08 Eixo Viário Fixo DIURNO</v>
      </c>
      <c r="E11" s="785"/>
      <c r="F11" s="784"/>
      <c r="G11" s="782">
        <v>2</v>
      </c>
      <c r="H11" s="782"/>
      <c r="I11" s="785"/>
      <c r="J11" s="785"/>
      <c r="K11" s="784"/>
      <c r="L11" s="784"/>
      <c r="M11" s="784"/>
      <c r="N11" s="784"/>
      <c r="O11" s="784"/>
      <c r="P11" s="754">
        <f t="shared" si="0"/>
        <v>2</v>
      </c>
      <c r="Q11" s="743" t="s">
        <v>631</v>
      </c>
      <c r="R11" s="743" t="s">
        <v>631</v>
      </c>
      <c r="S11" s="743" t="str">
        <f t="shared" si="3"/>
        <v>H24</v>
      </c>
      <c r="T11" s="751">
        <f>IF(Efetivo!E17&gt;0,Efetivo!E17,0)</f>
        <v>2</v>
      </c>
      <c r="V11" s="876">
        <f t="shared" si="1"/>
        <v>1</v>
      </c>
    </row>
    <row r="12" spans="2:22" ht="24" thickTop="1" thickBot="1">
      <c r="B12" s="743" t="str">
        <f t="shared" si="2"/>
        <v>AIRJ</v>
      </c>
      <c r="C12" s="743" t="s">
        <v>630</v>
      </c>
      <c r="D12" s="878" t="str">
        <f>Efetivo!B18</f>
        <v>Vigilante Patrulha 08 Eixo Viário Fixo NOTURNO</v>
      </c>
      <c r="E12" s="785"/>
      <c r="F12" s="784"/>
      <c r="G12" s="782"/>
      <c r="H12" s="782">
        <v>2</v>
      </c>
      <c r="I12" s="785"/>
      <c r="J12" s="785"/>
      <c r="K12" s="784"/>
      <c r="L12" s="784"/>
      <c r="M12" s="784"/>
      <c r="N12" s="784"/>
      <c r="O12" s="784"/>
      <c r="P12" s="754">
        <f t="shared" si="0"/>
        <v>2</v>
      </c>
      <c r="Q12" s="743" t="s">
        <v>631</v>
      </c>
      <c r="R12" s="743" t="s">
        <v>631</v>
      </c>
      <c r="S12" s="743" t="str">
        <f t="shared" si="3"/>
        <v>H24</v>
      </c>
      <c r="T12" s="751">
        <f>IF(Efetivo!E18&gt;0,Efetivo!E18,0)</f>
        <v>2</v>
      </c>
      <c r="V12" s="876">
        <f t="shared" si="1"/>
        <v>1</v>
      </c>
    </row>
    <row r="13" spans="2:22" ht="24" thickTop="1" thickBot="1">
      <c r="B13" s="743" t="str">
        <f t="shared" si="2"/>
        <v>AIRJ</v>
      </c>
      <c r="C13" s="743" t="s">
        <v>630</v>
      </c>
      <c r="D13" s="878" t="str">
        <f>Efetivo!B19</f>
        <v>Vigilante Patrulha 10 Sistema 10 x 28 DIURNO</v>
      </c>
      <c r="E13" s="784"/>
      <c r="F13" s="784"/>
      <c r="G13" s="782">
        <v>2</v>
      </c>
      <c r="H13" s="782"/>
      <c r="I13" s="785"/>
      <c r="J13" s="785"/>
      <c r="K13" s="784"/>
      <c r="L13" s="784"/>
      <c r="M13" s="784"/>
      <c r="N13" s="784"/>
      <c r="O13" s="784"/>
      <c r="P13" s="754">
        <f t="shared" si="0"/>
        <v>2</v>
      </c>
      <c r="Q13" s="743" t="s">
        <v>631</v>
      </c>
      <c r="R13" s="743" t="s">
        <v>631</v>
      </c>
      <c r="S13" s="743" t="str">
        <f t="shared" si="3"/>
        <v>H24</v>
      </c>
      <c r="T13" s="751">
        <f>IF(Efetivo!E19&gt;0,Efetivo!E19,0)</f>
        <v>2</v>
      </c>
      <c r="V13" s="876">
        <f t="shared" si="1"/>
        <v>1</v>
      </c>
    </row>
    <row r="14" spans="2:22" ht="24" thickTop="1" thickBot="1">
      <c r="B14" s="743" t="str">
        <f t="shared" si="2"/>
        <v>AIRJ</v>
      </c>
      <c r="C14" s="743" t="s">
        <v>630</v>
      </c>
      <c r="D14" s="878" t="str">
        <f>Efetivo!B20</f>
        <v>Vigilante Patrulha 10 Sistema 10 x 28 NOTURNO</v>
      </c>
      <c r="E14" s="785"/>
      <c r="F14" s="784"/>
      <c r="G14" s="782"/>
      <c r="H14" s="782">
        <v>2</v>
      </c>
      <c r="I14" s="785"/>
      <c r="J14" s="785"/>
      <c r="K14" s="784"/>
      <c r="L14" s="784"/>
      <c r="M14" s="784"/>
      <c r="N14" s="784"/>
      <c r="O14" s="784"/>
      <c r="P14" s="754">
        <f t="shared" si="0"/>
        <v>2</v>
      </c>
      <c r="Q14" s="743" t="s">
        <v>631</v>
      </c>
      <c r="R14" s="743" t="s">
        <v>631</v>
      </c>
      <c r="S14" s="743" t="str">
        <f t="shared" si="3"/>
        <v>H24</v>
      </c>
      <c r="T14" s="751">
        <f>IF(Efetivo!E20&gt;0,Efetivo!E20,0)</f>
        <v>2</v>
      </c>
      <c r="V14" s="876">
        <f t="shared" si="1"/>
        <v>1</v>
      </c>
    </row>
    <row r="15" spans="2:22" ht="24" thickTop="1" thickBot="1">
      <c r="B15" s="743" t="str">
        <f t="shared" si="2"/>
        <v>AIRJ</v>
      </c>
      <c r="C15" s="743" t="s">
        <v>630</v>
      </c>
      <c r="D15" s="878" t="str">
        <f>Efetivo!B21</f>
        <v>Vigilante Patrulha 11 Supervisão DIURNO</v>
      </c>
      <c r="E15" s="785"/>
      <c r="F15" s="784"/>
      <c r="G15" s="782">
        <v>1</v>
      </c>
      <c r="H15" s="782"/>
      <c r="I15" s="785"/>
      <c r="J15" s="785"/>
      <c r="K15" s="784"/>
      <c r="L15" s="784"/>
      <c r="M15" s="784"/>
      <c r="N15" s="784"/>
      <c r="O15" s="784"/>
      <c r="P15" s="754">
        <f t="shared" si="0"/>
        <v>1</v>
      </c>
      <c r="Q15" s="743" t="s">
        <v>631</v>
      </c>
      <c r="R15" s="743" t="s">
        <v>631</v>
      </c>
      <c r="S15" s="743" t="str">
        <f t="shared" si="3"/>
        <v>H24</v>
      </c>
      <c r="T15" s="751">
        <f>IF(Efetivo!E21&gt;0,Efetivo!E21,0)</f>
        <v>1</v>
      </c>
      <c r="V15" s="876">
        <f t="shared" si="1"/>
        <v>1</v>
      </c>
    </row>
    <row r="16" spans="2:22" ht="24" thickTop="1" thickBot="1">
      <c r="B16" s="743" t="str">
        <f t="shared" si="2"/>
        <v>AIRJ</v>
      </c>
      <c r="C16" s="743" t="s">
        <v>630</v>
      </c>
      <c r="D16" s="878" t="str">
        <f>Efetivo!B22</f>
        <v>Vigilante Patrulha 11 Supervisão NOTURNO</v>
      </c>
      <c r="E16" s="784"/>
      <c r="F16" s="784"/>
      <c r="G16" s="782"/>
      <c r="H16" s="782">
        <v>1</v>
      </c>
      <c r="I16" s="785"/>
      <c r="J16" s="785"/>
      <c r="K16" s="784"/>
      <c r="L16" s="784"/>
      <c r="M16" s="784"/>
      <c r="N16" s="784"/>
      <c r="O16" s="784"/>
      <c r="P16" s="754">
        <f t="shared" si="0"/>
        <v>1</v>
      </c>
      <c r="Q16" s="743" t="s">
        <v>631</v>
      </c>
      <c r="R16" s="743" t="s">
        <v>631</v>
      </c>
      <c r="S16" s="743" t="str">
        <f t="shared" si="3"/>
        <v>H24</v>
      </c>
      <c r="T16" s="751">
        <f>IF(Efetivo!E22&gt;0,Efetivo!E22,0)</f>
        <v>1</v>
      </c>
      <c r="V16" s="876">
        <f t="shared" si="1"/>
        <v>1</v>
      </c>
    </row>
    <row r="17" spans="2:22" ht="24" thickTop="1" thickBot="1">
      <c r="B17" s="743" t="str">
        <f t="shared" si="2"/>
        <v>AIRJ</v>
      </c>
      <c r="C17" s="743" t="s">
        <v>630</v>
      </c>
      <c r="D17" s="878" t="str">
        <f>Efetivo!B23</f>
        <v>Supervisor Patrulha 11 Supervisão DIURNO</v>
      </c>
      <c r="E17" s="784"/>
      <c r="F17" s="784"/>
      <c r="G17" s="782">
        <v>1</v>
      </c>
      <c r="H17" s="782"/>
      <c r="I17" s="785"/>
      <c r="J17" s="785"/>
      <c r="K17" s="784"/>
      <c r="L17" s="784"/>
      <c r="M17" s="784"/>
      <c r="N17" s="784"/>
      <c r="O17" s="784"/>
      <c r="P17" s="754">
        <f t="shared" si="0"/>
        <v>1</v>
      </c>
      <c r="Q17" s="743" t="s">
        <v>631</v>
      </c>
      <c r="R17" s="743" t="s">
        <v>631</v>
      </c>
      <c r="S17" s="743" t="str">
        <f t="shared" si="3"/>
        <v>H24</v>
      </c>
      <c r="T17" s="751">
        <f>IF(Efetivo!E23&gt;0,Efetivo!E23,0)</f>
        <v>1</v>
      </c>
      <c r="V17" s="876">
        <f t="shared" si="1"/>
        <v>1</v>
      </c>
    </row>
    <row r="18" spans="2:22" ht="24" thickTop="1" thickBot="1">
      <c r="B18" s="743" t="str">
        <f t="shared" si="2"/>
        <v>AIRJ</v>
      </c>
      <c r="C18" s="743" t="s">
        <v>630</v>
      </c>
      <c r="D18" s="878" t="str">
        <f>Efetivo!B24</f>
        <v>Supervisor Patrulha 11 Supervisão NOTURNO</v>
      </c>
      <c r="E18" s="784"/>
      <c r="F18" s="784"/>
      <c r="G18" s="782"/>
      <c r="H18" s="782">
        <v>1</v>
      </c>
      <c r="I18" s="785"/>
      <c r="J18" s="785"/>
      <c r="K18" s="784"/>
      <c r="L18" s="784"/>
      <c r="M18" s="784"/>
      <c r="N18" s="784"/>
      <c r="O18" s="784"/>
      <c r="P18" s="754">
        <f t="shared" si="0"/>
        <v>1</v>
      </c>
      <c r="Q18" s="743" t="s">
        <v>631</v>
      </c>
      <c r="R18" s="743" t="s">
        <v>631</v>
      </c>
      <c r="S18" s="743" t="str">
        <f t="shared" si="3"/>
        <v>H24</v>
      </c>
      <c r="T18" s="751">
        <f>IF(Efetivo!E24&gt;0,Efetivo!E24,0)</f>
        <v>1</v>
      </c>
      <c r="V18" s="876">
        <f t="shared" si="1"/>
        <v>1</v>
      </c>
    </row>
    <row r="19" spans="2:22" ht="12" thickTop="1">
      <c r="B19" s="743"/>
      <c r="C19" s="743"/>
      <c r="D19" s="878">
        <f>Efetivo!B25</f>
        <v>0</v>
      </c>
      <c r="E19" s="784"/>
      <c r="F19" s="784"/>
      <c r="G19" s="782"/>
      <c r="H19" s="782"/>
      <c r="I19" s="785"/>
      <c r="J19" s="785"/>
      <c r="K19" s="784"/>
      <c r="L19" s="784"/>
      <c r="M19" s="784"/>
      <c r="N19" s="784"/>
      <c r="O19" s="784"/>
      <c r="P19" s="754">
        <f t="shared" si="0"/>
        <v>0</v>
      </c>
      <c r="Q19" s="743"/>
      <c r="R19" s="743"/>
      <c r="S19" s="743"/>
      <c r="T19" s="751">
        <f>IF(Efetivo!E25&gt;0,Efetivo!E25,0)</f>
        <v>0</v>
      </c>
      <c r="V19" s="876">
        <f t="shared" si="1"/>
        <v>0</v>
      </c>
    </row>
    <row r="20" spans="2:22" hidden="1">
      <c r="B20" s="743"/>
      <c r="C20" s="743"/>
      <c r="D20" s="878">
        <f>Efetivo!B26</f>
        <v>0</v>
      </c>
      <c r="E20" s="784"/>
      <c r="F20" s="784"/>
      <c r="G20" s="784"/>
      <c r="H20" s="784"/>
      <c r="I20" s="785"/>
      <c r="J20" s="785"/>
      <c r="K20" s="784"/>
      <c r="L20" s="784"/>
      <c r="M20" s="784"/>
      <c r="N20" s="784"/>
      <c r="O20" s="784"/>
      <c r="P20" s="754">
        <f t="shared" si="0"/>
        <v>0</v>
      </c>
      <c r="Q20" s="743"/>
      <c r="R20" s="743"/>
      <c r="S20" s="743"/>
      <c r="T20" s="751">
        <f>IF(Efetivo!E26&gt;0,Efetivo!E26,0)</f>
        <v>0</v>
      </c>
      <c r="V20" s="876">
        <f t="shared" si="1"/>
        <v>0</v>
      </c>
    </row>
    <row r="21" spans="2:22" hidden="1">
      <c r="B21" s="743"/>
      <c r="C21" s="743"/>
      <c r="D21" s="878">
        <f>Efetivo!B27</f>
        <v>0</v>
      </c>
      <c r="E21" s="784"/>
      <c r="F21" s="784"/>
      <c r="G21" s="784"/>
      <c r="H21" s="784"/>
      <c r="I21" s="785"/>
      <c r="J21" s="785"/>
      <c r="K21" s="784"/>
      <c r="L21" s="784"/>
      <c r="M21" s="784"/>
      <c r="N21" s="784"/>
      <c r="O21" s="784"/>
      <c r="P21" s="754">
        <f t="shared" si="0"/>
        <v>0</v>
      </c>
      <c r="Q21" s="743"/>
      <c r="R21" s="743"/>
      <c r="S21" s="743"/>
      <c r="T21" s="751">
        <f>IF(Efetivo!E27&gt;0,Efetivo!E27,0)</f>
        <v>0</v>
      </c>
      <c r="V21" s="876">
        <f t="shared" si="1"/>
        <v>0</v>
      </c>
    </row>
    <row r="22" spans="2:22" hidden="1">
      <c r="B22" s="743"/>
      <c r="C22" s="743"/>
      <c r="D22" s="878">
        <f>Efetivo!B28</f>
        <v>0</v>
      </c>
      <c r="E22" s="784"/>
      <c r="F22" s="784"/>
      <c r="G22" s="784"/>
      <c r="H22" s="784"/>
      <c r="I22" s="785"/>
      <c r="J22" s="785"/>
      <c r="K22" s="784"/>
      <c r="L22" s="784"/>
      <c r="M22" s="784"/>
      <c r="N22" s="784"/>
      <c r="O22" s="784"/>
      <c r="P22" s="754">
        <f t="shared" si="0"/>
        <v>0</v>
      </c>
      <c r="Q22" s="743"/>
      <c r="R22" s="743"/>
      <c r="S22" s="743"/>
      <c r="T22" s="751">
        <f>IF(Efetivo!E28&gt;0,Efetivo!E28,0)</f>
        <v>0</v>
      </c>
      <c r="V22" s="876">
        <f t="shared" si="1"/>
        <v>0</v>
      </c>
    </row>
    <row r="23" spans="2:22" hidden="1">
      <c r="B23" s="743"/>
      <c r="C23" s="743"/>
      <c r="D23" s="878">
        <f>Efetivo!B29</f>
        <v>0</v>
      </c>
      <c r="E23" s="784"/>
      <c r="F23" s="784"/>
      <c r="G23" s="784"/>
      <c r="H23" s="784"/>
      <c r="I23" s="785"/>
      <c r="J23" s="785"/>
      <c r="K23" s="784"/>
      <c r="L23" s="784"/>
      <c r="M23" s="784"/>
      <c r="N23" s="784"/>
      <c r="O23" s="784"/>
      <c r="P23" s="754">
        <f t="shared" si="0"/>
        <v>0</v>
      </c>
      <c r="Q23" s="743"/>
      <c r="R23" s="743"/>
      <c r="S23" s="743"/>
      <c r="T23" s="751">
        <f>IF(Efetivo!E29&gt;0,Efetivo!E29,0)</f>
        <v>0</v>
      </c>
      <c r="V23" s="876">
        <f t="shared" si="1"/>
        <v>0</v>
      </c>
    </row>
    <row r="24" spans="2:22" hidden="1">
      <c r="B24" s="743"/>
      <c r="C24" s="743"/>
      <c r="D24" s="878">
        <f>Efetivo!B30</f>
        <v>0</v>
      </c>
      <c r="E24" s="784"/>
      <c r="F24" s="784"/>
      <c r="G24" s="784"/>
      <c r="H24" s="784"/>
      <c r="I24" s="785"/>
      <c r="J24" s="785"/>
      <c r="K24" s="784"/>
      <c r="L24" s="784"/>
      <c r="M24" s="784"/>
      <c r="N24" s="784"/>
      <c r="O24" s="784"/>
      <c r="P24" s="754">
        <f t="shared" si="0"/>
        <v>0</v>
      </c>
      <c r="Q24" s="743"/>
      <c r="R24" s="743"/>
      <c r="S24" s="743"/>
      <c r="T24" s="751">
        <f>IF(Efetivo!E30&gt;0,Efetivo!E30,0)</f>
        <v>0</v>
      </c>
      <c r="V24" s="876">
        <f t="shared" si="1"/>
        <v>0</v>
      </c>
    </row>
    <row r="25" spans="2:22" hidden="1">
      <c r="B25" s="743"/>
      <c r="C25" s="743"/>
      <c r="D25" s="878">
        <f>Efetivo!B31</f>
        <v>0</v>
      </c>
      <c r="E25" s="784"/>
      <c r="F25" s="784"/>
      <c r="G25" s="784"/>
      <c r="H25" s="784"/>
      <c r="I25" s="785"/>
      <c r="J25" s="785"/>
      <c r="K25" s="784"/>
      <c r="L25" s="784"/>
      <c r="M25" s="784"/>
      <c r="N25" s="784"/>
      <c r="O25" s="784"/>
      <c r="P25" s="754">
        <f t="shared" si="0"/>
        <v>0</v>
      </c>
      <c r="Q25" s="743"/>
      <c r="R25" s="743"/>
      <c r="S25" s="743"/>
      <c r="T25" s="751">
        <f>IF(Efetivo!E31&gt;0,Efetivo!E31,0)</f>
        <v>0</v>
      </c>
      <c r="V25" s="876">
        <f t="shared" si="1"/>
        <v>0</v>
      </c>
    </row>
    <row r="26" spans="2:22" hidden="1">
      <c r="B26" s="743"/>
      <c r="C26" s="743"/>
      <c r="D26" s="878">
        <f>Efetivo!B32</f>
        <v>0</v>
      </c>
      <c r="E26" s="785"/>
      <c r="F26" s="784"/>
      <c r="G26" s="784"/>
      <c r="H26" s="784"/>
      <c r="I26" s="785"/>
      <c r="J26" s="784"/>
      <c r="K26" s="784"/>
      <c r="L26" s="784"/>
      <c r="M26" s="784"/>
      <c r="N26" s="784"/>
      <c r="O26" s="784"/>
      <c r="P26" s="754">
        <f>SUM(E26:O26)</f>
        <v>0</v>
      </c>
      <c r="Q26" s="743"/>
      <c r="R26" s="743"/>
      <c r="S26" s="743"/>
      <c r="T26" s="751">
        <f>IF(Efetivo!E32&gt;0,Efetivo!E32,0)</f>
        <v>0</v>
      </c>
      <c r="V26" s="876">
        <f t="shared" si="1"/>
        <v>0</v>
      </c>
    </row>
    <row r="27" spans="2:22" hidden="1">
      <c r="B27" s="743"/>
      <c r="C27" s="743"/>
      <c r="D27" s="878">
        <f>Efetivo!B33</f>
        <v>0</v>
      </c>
      <c r="E27" s="785"/>
      <c r="F27" s="784"/>
      <c r="G27" s="784"/>
      <c r="H27" s="784"/>
      <c r="I27" s="785"/>
      <c r="J27" s="784"/>
      <c r="K27" s="784"/>
      <c r="L27" s="784"/>
      <c r="M27" s="784"/>
      <c r="N27" s="784"/>
      <c r="O27" s="784"/>
      <c r="P27" s="754">
        <f>SUM(E27:O27)</f>
        <v>0</v>
      </c>
      <c r="Q27" s="743"/>
      <c r="R27" s="743"/>
      <c r="S27" s="743"/>
      <c r="T27" s="751">
        <f>IF(Efetivo!E33&gt;0,Efetivo!E33,0)</f>
        <v>0</v>
      </c>
      <c r="V27" s="876">
        <f t="shared" si="1"/>
        <v>0</v>
      </c>
    </row>
    <row r="28" spans="2:22" hidden="1">
      <c r="B28" s="743"/>
      <c r="C28" s="743"/>
      <c r="D28" s="878">
        <f>Efetivo!B34</f>
        <v>0</v>
      </c>
      <c r="E28" s="784"/>
      <c r="F28" s="784"/>
      <c r="G28" s="784"/>
      <c r="H28" s="784"/>
      <c r="I28" s="785"/>
      <c r="J28" s="785"/>
      <c r="K28" s="784"/>
      <c r="L28" s="784"/>
      <c r="M28" s="784"/>
      <c r="N28" s="784"/>
      <c r="O28" s="784"/>
      <c r="P28" s="754">
        <f t="shared" si="0"/>
        <v>0</v>
      </c>
      <c r="Q28" s="743"/>
      <c r="R28" s="743"/>
      <c r="S28" s="743"/>
      <c r="T28" s="751">
        <f>IF(Efetivo!E34&gt;0,Efetivo!E34,0)</f>
        <v>0</v>
      </c>
      <c r="V28" s="876">
        <f t="shared" si="1"/>
        <v>0</v>
      </c>
    </row>
    <row r="29" spans="2:22" hidden="1">
      <c r="B29" s="743"/>
      <c r="C29" s="743"/>
      <c r="D29" s="878">
        <f>Efetivo!B35</f>
        <v>0</v>
      </c>
      <c r="E29" s="784"/>
      <c r="F29" s="784"/>
      <c r="G29" s="784"/>
      <c r="H29" s="784"/>
      <c r="I29" s="785"/>
      <c r="J29" s="785"/>
      <c r="K29" s="784"/>
      <c r="L29" s="784"/>
      <c r="M29" s="784"/>
      <c r="N29" s="784"/>
      <c r="O29" s="784"/>
      <c r="P29" s="754">
        <f t="shared" si="0"/>
        <v>0</v>
      </c>
      <c r="Q29" s="743"/>
      <c r="R29" s="743"/>
      <c r="S29" s="743"/>
      <c r="T29" s="751">
        <f>IF(Efetivo!E35&gt;0,Efetivo!E35,0)</f>
        <v>0</v>
      </c>
      <c r="V29" s="876">
        <f t="shared" si="1"/>
        <v>0</v>
      </c>
    </row>
    <row r="30" spans="2:22" hidden="1">
      <c r="B30" s="743"/>
      <c r="C30" s="743"/>
      <c r="D30" s="878">
        <f>Efetivo!B36</f>
        <v>0</v>
      </c>
      <c r="E30" s="784"/>
      <c r="F30" s="784"/>
      <c r="G30" s="784"/>
      <c r="H30" s="784"/>
      <c r="I30" s="785"/>
      <c r="J30" s="785"/>
      <c r="K30" s="784"/>
      <c r="L30" s="784"/>
      <c r="M30" s="784"/>
      <c r="N30" s="784"/>
      <c r="O30" s="784"/>
      <c r="P30" s="754">
        <f t="shared" si="0"/>
        <v>0</v>
      </c>
      <c r="Q30" s="743"/>
      <c r="R30" s="743"/>
      <c r="S30" s="743"/>
      <c r="T30" s="751">
        <f>IF(Efetivo!E36&gt;0,Efetivo!E36,0)</f>
        <v>0</v>
      </c>
      <c r="V30" s="876">
        <f t="shared" si="1"/>
        <v>0</v>
      </c>
    </row>
    <row r="31" spans="2:22" hidden="1">
      <c r="B31" s="743"/>
      <c r="C31" s="743"/>
      <c r="D31" s="878">
        <f>Efetivo!B37</f>
        <v>0</v>
      </c>
      <c r="E31" s="784"/>
      <c r="F31" s="784"/>
      <c r="G31" s="784"/>
      <c r="H31" s="784"/>
      <c r="I31" s="785"/>
      <c r="J31" s="785"/>
      <c r="K31" s="784"/>
      <c r="L31" s="784"/>
      <c r="M31" s="784"/>
      <c r="N31" s="784"/>
      <c r="O31" s="784"/>
      <c r="P31" s="754">
        <f t="shared" si="0"/>
        <v>0</v>
      </c>
      <c r="Q31" s="743"/>
      <c r="R31" s="743"/>
      <c r="S31" s="743"/>
      <c r="T31" s="751">
        <f>IF(Efetivo!E37&gt;0,Efetivo!E37,0)</f>
        <v>0</v>
      </c>
      <c r="V31" s="876">
        <f t="shared" si="1"/>
        <v>0</v>
      </c>
    </row>
    <row r="32" spans="2:22" hidden="1">
      <c r="B32" s="743"/>
      <c r="C32" s="743"/>
      <c r="D32" s="878">
        <f>Efetivo!B38</f>
        <v>0</v>
      </c>
      <c r="E32" s="784"/>
      <c r="F32" s="784"/>
      <c r="G32" s="784"/>
      <c r="H32" s="784"/>
      <c r="I32" s="785"/>
      <c r="J32" s="785"/>
      <c r="K32" s="784"/>
      <c r="L32" s="784"/>
      <c r="M32" s="784"/>
      <c r="N32" s="784"/>
      <c r="O32" s="784"/>
      <c r="P32" s="754">
        <f t="shared" si="0"/>
        <v>0</v>
      </c>
      <c r="Q32" s="743"/>
      <c r="R32" s="743"/>
      <c r="S32" s="743"/>
      <c r="T32" s="751">
        <f>IF(Efetivo!E38&gt;0,Efetivo!E38,0)</f>
        <v>0</v>
      </c>
      <c r="V32" s="876">
        <f t="shared" si="1"/>
        <v>0</v>
      </c>
    </row>
    <row r="33" spans="2:22" hidden="1">
      <c r="B33" s="743"/>
      <c r="C33" s="743"/>
      <c r="D33" s="878">
        <f>Efetivo!B39</f>
        <v>0</v>
      </c>
      <c r="E33" s="784"/>
      <c r="F33" s="784"/>
      <c r="G33" s="784"/>
      <c r="H33" s="784"/>
      <c r="I33" s="785"/>
      <c r="J33" s="785"/>
      <c r="K33" s="784"/>
      <c r="L33" s="784"/>
      <c r="M33" s="784"/>
      <c r="N33" s="784"/>
      <c r="O33" s="784"/>
      <c r="P33" s="754">
        <f t="shared" si="0"/>
        <v>0</v>
      </c>
      <c r="Q33" s="743"/>
      <c r="R33" s="743"/>
      <c r="S33" s="743"/>
      <c r="T33" s="751">
        <f>IF(Efetivo!E39&gt;0,Efetivo!E39,0)</f>
        <v>0</v>
      </c>
      <c r="V33" s="876">
        <f t="shared" si="1"/>
        <v>0</v>
      </c>
    </row>
    <row r="34" spans="2:22" hidden="1">
      <c r="B34" s="743"/>
      <c r="C34" s="743"/>
      <c r="D34" s="878">
        <f>Efetivo!B40</f>
        <v>0</v>
      </c>
      <c r="E34" s="785"/>
      <c r="F34" s="784"/>
      <c r="G34" s="784"/>
      <c r="H34" s="784"/>
      <c r="I34" s="785"/>
      <c r="J34" s="784"/>
      <c r="K34" s="784"/>
      <c r="L34" s="784"/>
      <c r="M34" s="784"/>
      <c r="N34" s="784"/>
      <c r="O34" s="784"/>
      <c r="P34" s="754">
        <f>SUM(E34:O34)</f>
        <v>0</v>
      </c>
      <c r="Q34" s="743"/>
      <c r="R34" s="743"/>
      <c r="S34" s="743"/>
      <c r="T34" s="751">
        <f>IF(Efetivo!E40&gt;0,Efetivo!E40,0)</f>
        <v>0</v>
      </c>
      <c r="V34" s="876">
        <f t="shared" si="1"/>
        <v>0</v>
      </c>
    </row>
    <row r="35" spans="2:22" hidden="1">
      <c r="B35" s="743"/>
      <c r="C35" s="743"/>
      <c r="D35" s="878">
        <f>Efetivo!B41</f>
        <v>0</v>
      </c>
      <c r="E35" s="784"/>
      <c r="F35" s="784"/>
      <c r="G35" s="784"/>
      <c r="H35" s="784"/>
      <c r="I35" s="785"/>
      <c r="J35" s="785"/>
      <c r="K35" s="784"/>
      <c r="L35" s="784"/>
      <c r="M35" s="784"/>
      <c r="N35" s="784"/>
      <c r="O35" s="784"/>
      <c r="P35" s="754">
        <f t="shared" si="0"/>
        <v>0</v>
      </c>
      <c r="Q35" s="743"/>
      <c r="R35" s="743"/>
      <c r="S35" s="743"/>
      <c r="T35" s="751">
        <f>IF(Efetivo!E41&gt;0,Efetivo!E41,0)</f>
        <v>0</v>
      </c>
      <c r="V35" s="876">
        <f t="shared" si="1"/>
        <v>0</v>
      </c>
    </row>
    <row r="36" spans="2:22" hidden="1">
      <c r="B36" s="743"/>
      <c r="C36" s="743"/>
      <c r="D36" s="878">
        <f>Efetivo!B42</f>
        <v>0</v>
      </c>
      <c r="E36" s="784"/>
      <c r="F36" s="784"/>
      <c r="G36" s="784"/>
      <c r="H36" s="784"/>
      <c r="I36" s="785"/>
      <c r="J36" s="785"/>
      <c r="K36" s="784"/>
      <c r="L36" s="784"/>
      <c r="M36" s="784"/>
      <c r="N36" s="784"/>
      <c r="O36" s="784"/>
      <c r="P36" s="754">
        <f t="shared" si="0"/>
        <v>0</v>
      </c>
      <c r="Q36" s="743"/>
      <c r="R36" s="743"/>
      <c r="S36" s="743"/>
      <c r="T36" s="751">
        <f>IF(Efetivo!E42&gt;0,Efetivo!E42,0)</f>
        <v>0</v>
      </c>
      <c r="V36" s="876">
        <f t="shared" si="1"/>
        <v>0</v>
      </c>
    </row>
    <row r="37" spans="2:22" hidden="1">
      <c r="B37" s="743"/>
      <c r="C37" s="743"/>
      <c r="D37" s="878">
        <f>Efetivo!B43</f>
        <v>0</v>
      </c>
      <c r="E37" s="784"/>
      <c r="F37" s="784"/>
      <c r="G37" s="784"/>
      <c r="H37" s="784"/>
      <c r="I37" s="785"/>
      <c r="J37" s="785"/>
      <c r="K37" s="784"/>
      <c r="L37" s="784"/>
      <c r="M37" s="784"/>
      <c r="N37" s="784"/>
      <c r="O37" s="784"/>
      <c r="P37" s="754">
        <f t="shared" si="0"/>
        <v>0</v>
      </c>
      <c r="Q37" s="743"/>
      <c r="R37" s="743"/>
      <c r="S37" s="743"/>
      <c r="T37" s="751">
        <f>IF(Efetivo!E43&gt;0,Efetivo!E43,0)</f>
        <v>0</v>
      </c>
      <c r="V37" s="876">
        <f t="shared" si="1"/>
        <v>0</v>
      </c>
    </row>
    <row r="38" spans="2:22" hidden="1">
      <c r="B38" s="743"/>
      <c r="C38" s="743"/>
      <c r="D38" s="878">
        <f>Efetivo!B44</f>
        <v>0</v>
      </c>
      <c r="E38" s="784"/>
      <c r="F38" s="784"/>
      <c r="G38" s="784"/>
      <c r="H38" s="784"/>
      <c r="I38" s="785"/>
      <c r="J38" s="785"/>
      <c r="K38" s="784"/>
      <c r="L38" s="784"/>
      <c r="M38" s="784"/>
      <c r="N38" s="784"/>
      <c r="O38" s="784"/>
      <c r="P38" s="754">
        <f t="shared" si="0"/>
        <v>0</v>
      </c>
      <c r="Q38" s="743"/>
      <c r="R38" s="743"/>
      <c r="S38" s="743"/>
      <c r="T38" s="751">
        <f>IF(Efetivo!E44&gt;0,Efetivo!E44,0)</f>
        <v>0</v>
      </c>
      <c r="V38" s="876">
        <f t="shared" si="1"/>
        <v>0</v>
      </c>
    </row>
    <row r="39" spans="2:22" hidden="1">
      <c r="B39" s="743"/>
      <c r="C39" s="743"/>
      <c r="D39" s="878">
        <f>Efetivo!B45</f>
        <v>0</v>
      </c>
      <c r="E39" s="784"/>
      <c r="F39" s="784"/>
      <c r="G39" s="784"/>
      <c r="H39" s="784"/>
      <c r="I39" s="785"/>
      <c r="J39" s="785"/>
      <c r="K39" s="784"/>
      <c r="L39" s="784"/>
      <c r="M39" s="784"/>
      <c r="N39" s="784"/>
      <c r="O39" s="784"/>
      <c r="P39" s="754">
        <f t="shared" si="0"/>
        <v>0</v>
      </c>
      <c r="Q39" s="743"/>
      <c r="R39" s="743"/>
      <c r="S39" s="743"/>
      <c r="T39" s="751">
        <f>IF(Efetivo!E45&gt;0,Efetivo!E45,0)</f>
        <v>0</v>
      </c>
      <c r="V39" s="876">
        <f t="shared" si="1"/>
        <v>0</v>
      </c>
    </row>
    <row r="40" spans="2:22" hidden="1">
      <c r="B40" s="743"/>
      <c r="C40" s="743"/>
      <c r="D40" s="878">
        <f>Efetivo!B46</f>
        <v>0</v>
      </c>
      <c r="E40" s="784"/>
      <c r="F40" s="784"/>
      <c r="G40" s="784"/>
      <c r="H40" s="784"/>
      <c r="I40" s="785"/>
      <c r="J40" s="785"/>
      <c r="K40" s="784"/>
      <c r="L40" s="784"/>
      <c r="M40" s="784"/>
      <c r="N40" s="784"/>
      <c r="O40" s="784"/>
      <c r="P40" s="754">
        <f t="shared" si="0"/>
        <v>0</v>
      </c>
      <c r="Q40" s="743"/>
      <c r="R40" s="743"/>
      <c r="S40" s="743"/>
      <c r="T40" s="751">
        <f>IF(Efetivo!E46&gt;0,Efetivo!E46,0)</f>
        <v>0</v>
      </c>
      <c r="V40" s="876">
        <f t="shared" si="1"/>
        <v>0</v>
      </c>
    </row>
    <row r="41" spans="2:22" hidden="1">
      <c r="B41" s="743"/>
      <c r="C41" s="743"/>
      <c r="D41" s="878">
        <f>Efetivo!B47</f>
        <v>0</v>
      </c>
      <c r="E41" s="784"/>
      <c r="F41" s="784"/>
      <c r="G41" s="784"/>
      <c r="H41" s="784"/>
      <c r="I41" s="785"/>
      <c r="J41" s="785"/>
      <c r="K41" s="784"/>
      <c r="L41" s="784"/>
      <c r="M41" s="784"/>
      <c r="N41" s="784"/>
      <c r="O41" s="784"/>
      <c r="P41" s="754">
        <f t="shared" si="0"/>
        <v>0</v>
      </c>
      <c r="Q41" s="743"/>
      <c r="R41" s="743"/>
      <c r="S41" s="743"/>
      <c r="T41" s="751">
        <f>IF(Efetivo!E47&gt;0,Efetivo!E47,0)</f>
        <v>0</v>
      </c>
      <c r="V41" s="876">
        <f t="shared" si="1"/>
        <v>0</v>
      </c>
    </row>
    <row r="42" spans="2:22" hidden="1">
      <c r="B42" s="743"/>
      <c r="C42" s="743"/>
      <c r="D42" s="878">
        <f>Efetivo!B48</f>
        <v>0</v>
      </c>
      <c r="E42" s="784"/>
      <c r="F42" s="784"/>
      <c r="G42" s="784"/>
      <c r="H42" s="784"/>
      <c r="I42" s="785"/>
      <c r="J42" s="785"/>
      <c r="K42" s="784"/>
      <c r="L42" s="784"/>
      <c r="M42" s="784"/>
      <c r="N42" s="784"/>
      <c r="O42" s="784"/>
      <c r="P42" s="754">
        <f t="shared" si="0"/>
        <v>0</v>
      </c>
      <c r="Q42" s="743"/>
      <c r="R42" s="743"/>
      <c r="S42" s="743"/>
      <c r="T42" s="751">
        <f>IF(Efetivo!E48&gt;0,Efetivo!E48,0)</f>
        <v>0</v>
      </c>
      <c r="V42" s="876">
        <f t="shared" si="1"/>
        <v>0</v>
      </c>
    </row>
    <row r="43" spans="2:22" hidden="1">
      <c r="B43" s="743"/>
      <c r="C43" s="743"/>
      <c r="D43" s="878">
        <f>Efetivo!B49</f>
        <v>0</v>
      </c>
      <c r="E43" s="784"/>
      <c r="F43" s="784"/>
      <c r="G43" s="784"/>
      <c r="H43" s="784"/>
      <c r="I43" s="785"/>
      <c r="J43" s="785"/>
      <c r="K43" s="784"/>
      <c r="L43" s="784"/>
      <c r="M43" s="784"/>
      <c r="N43" s="784"/>
      <c r="O43" s="784"/>
      <c r="P43" s="754">
        <f t="shared" si="0"/>
        <v>0</v>
      </c>
      <c r="Q43" s="743"/>
      <c r="R43" s="743"/>
      <c r="S43" s="743"/>
      <c r="T43" s="751">
        <f>IF(Efetivo!E49&gt;0,Efetivo!E49,0)</f>
        <v>0</v>
      </c>
      <c r="V43" s="876">
        <f t="shared" si="1"/>
        <v>0</v>
      </c>
    </row>
    <row r="44" spans="2:22" hidden="1">
      <c r="B44" s="743"/>
      <c r="C44" s="743"/>
      <c r="D44" s="878">
        <f>Efetivo!B50</f>
        <v>0</v>
      </c>
      <c r="E44" s="784"/>
      <c r="F44" s="784"/>
      <c r="G44" s="784"/>
      <c r="H44" s="784"/>
      <c r="I44" s="785"/>
      <c r="J44" s="785"/>
      <c r="K44" s="784"/>
      <c r="L44" s="784"/>
      <c r="M44" s="784"/>
      <c r="N44" s="784"/>
      <c r="O44" s="784"/>
      <c r="P44" s="754">
        <f t="shared" si="0"/>
        <v>0</v>
      </c>
      <c r="Q44" s="743"/>
      <c r="R44" s="743"/>
      <c r="S44" s="743"/>
      <c r="T44" s="751">
        <f>IF(Efetivo!E50&gt;0,Efetivo!E50,0)</f>
        <v>0</v>
      </c>
      <c r="V44" s="876">
        <f t="shared" si="1"/>
        <v>0</v>
      </c>
    </row>
    <row r="45" spans="2:22" hidden="1">
      <c r="B45" s="743"/>
      <c r="C45" s="743"/>
      <c r="D45" s="878">
        <f>Efetivo!B51</f>
        <v>0</v>
      </c>
      <c r="E45" s="784"/>
      <c r="F45" s="784"/>
      <c r="G45" s="784"/>
      <c r="H45" s="784"/>
      <c r="I45" s="785"/>
      <c r="J45" s="785"/>
      <c r="K45" s="784"/>
      <c r="L45" s="784"/>
      <c r="M45" s="784"/>
      <c r="N45" s="784"/>
      <c r="O45" s="784"/>
      <c r="P45" s="754">
        <f t="shared" si="0"/>
        <v>0</v>
      </c>
      <c r="Q45" s="743"/>
      <c r="R45" s="743"/>
      <c r="S45" s="743"/>
      <c r="T45" s="751">
        <f>IF(Efetivo!E51&gt;0,Efetivo!E51,0)</f>
        <v>0</v>
      </c>
      <c r="V45" s="876">
        <f t="shared" si="1"/>
        <v>0</v>
      </c>
    </row>
    <row r="46" spans="2:22" hidden="1">
      <c r="B46" s="743"/>
      <c r="C46" s="743"/>
      <c r="D46" s="878">
        <f>Efetivo!B52</f>
        <v>0</v>
      </c>
      <c r="E46" s="785"/>
      <c r="F46" s="784"/>
      <c r="G46" s="784"/>
      <c r="H46" s="784"/>
      <c r="I46" s="785"/>
      <c r="J46" s="784"/>
      <c r="K46" s="784"/>
      <c r="L46" s="784"/>
      <c r="M46" s="784"/>
      <c r="N46" s="784"/>
      <c r="O46" s="784"/>
      <c r="P46" s="754">
        <f>SUM(E46:O46)</f>
        <v>0</v>
      </c>
      <c r="Q46" s="743"/>
      <c r="R46" s="743"/>
      <c r="S46" s="743"/>
      <c r="T46" s="751">
        <f>IF(Efetivo!E52&gt;0,Efetivo!E52,0)</f>
        <v>0</v>
      </c>
      <c r="V46" s="876">
        <f t="shared" si="1"/>
        <v>0</v>
      </c>
    </row>
    <row r="47" spans="2:22" hidden="1">
      <c r="B47" s="743"/>
      <c r="C47" s="743"/>
      <c r="D47" s="878">
        <f>Efetivo!B53</f>
        <v>0</v>
      </c>
      <c r="E47" s="785"/>
      <c r="F47" s="784"/>
      <c r="G47" s="784"/>
      <c r="H47" s="784"/>
      <c r="I47" s="785"/>
      <c r="J47" s="784"/>
      <c r="K47" s="784"/>
      <c r="L47" s="784"/>
      <c r="M47" s="784"/>
      <c r="N47" s="784"/>
      <c r="O47" s="784"/>
      <c r="P47" s="754">
        <f>SUM(E47:O47)</f>
        <v>0</v>
      </c>
      <c r="Q47" s="743"/>
      <c r="R47" s="743"/>
      <c r="S47" s="743"/>
      <c r="T47" s="751">
        <f>IF(Efetivo!E53&gt;0,Efetivo!E53,0)</f>
        <v>0</v>
      </c>
      <c r="V47" s="876">
        <f t="shared" si="1"/>
        <v>0</v>
      </c>
    </row>
    <row r="48" spans="2:22" hidden="1">
      <c r="B48" s="743"/>
      <c r="C48" s="743"/>
      <c r="D48" s="878">
        <f>Efetivo!B54</f>
        <v>0</v>
      </c>
      <c r="E48" s="785"/>
      <c r="F48" s="784"/>
      <c r="G48" s="784"/>
      <c r="H48" s="784"/>
      <c r="I48" s="785"/>
      <c r="J48" s="784"/>
      <c r="K48" s="784"/>
      <c r="L48" s="784"/>
      <c r="M48" s="784"/>
      <c r="N48" s="784"/>
      <c r="O48" s="784"/>
      <c r="P48" s="754">
        <f>SUM(E48:O48)</f>
        <v>0</v>
      </c>
      <c r="Q48" s="743"/>
      <c r="R48" s="743"/>
      <c r="S48" s="743"/>
      <c r="T48" s="751">
        <f>IF(Efetivo!E54&gt;0,Efetivo!E54,0)</f>
        <v>0</v>
      </c>
      <c r="V48" s="876">
        <f t="shared" si="1"/>
        <v>0</v>
      </c>
    </row>
    <row r="49" spans="2:22" hidden="1">
      <c r="B49" s="744"/>
      <c r="C49" s="744"/>
      <c r="D49" s="878">
        <f>Efetivo!B55</f>
        <v>0</v>
      </c>
      <c r="E49" s="786"/>
      <c r="F49" s="787"/>
      <c r="G49" s="787"/>
      <c r="H49" s="787"/>
      <c r="I49" s="786"/>
      <c r="J49" s="787"/>
      <c r="K49" s="787"/>
      <c r="L49" s="787"/>
      <c r="M49" s="787"/>
      <c r="N49" s="787"/>
      <c r="O49" s="787"/>
      <c r="P49" s="755">
        <f>SUM(E49:O49)</f>
        <v>0</v>
      </c>
      <c r="Q49" s="744"/>
      <c r="R49" s="744"/>
      <c r="S49" s="743"/>
      <c r="T49" s="751">
        <f>IF(Efetivo!E55&gt;0,Efetivo!E55,0)</f>
        <v>0</v>
      </c>
      <c r="V49" s="876">
        <f t="shared" si="1"/>
        <v>0</v>
      </c>
    </row>
    <row r="50" spans="2:22" ht="12" hidden="1" thickBot="1">
      <c r="B50" s="745"/>
      <c r="C50" s="745"/>
      <c r="D50" s="879">
        <f>Efetivo!B56</f>
        <v>0</v>
      </c>
      <c r="E50" s="788"/>
      <c r="F50" s="789"/>
      <c r="G50" s="789"/>
      <c r="H50" s="789"/>
      <c r="I50" s="788"/>
      <c r="J50" s="789"/>
      <c r="K50" s="789"/>
      <c r="L50" s="789"/>
      <c r="M50" s="789"/>
      <c r="N50" s="789"/>
      <c r="O50" s="789"/>
      <c r="P50" s="756">
        <f>SUM(E50:O50)</f>
        <v>0</v>
      </c>
      <c r="Q50" s="745"/>
      <c r="R50" s="745"/>
      <c r="S50" s="745"/>
      <c r="T50" s="752">
        <f>IF(Efetivo!E56&gt;0,Efetivo!E56,0)</f>
        <v>0</v>
      </c>
      <c r="V50" s="876">
        <f t="shared" si="1"/>
        <v>0</v>
      </c>
    </row>
    <row r="51" spans="2:22" s="153" customFormat="1" ht="8.25" customHeight="1" thickBot="1">
      <c r="B51" s="354"/>
      <c r="C51" s="354"/>
      <c r="D51" s="734"/>
      <c r="E51" s="735"/>
      <c r="F51" s="735"/>
      <c r="G51" s="735"/>
      <c r="H51" s="735"/>
      <c r="I51" s="735"/>
      <c r="J51" s="735"/>
      <c r="K51" s="735"/>
      <c r="L51" s="735"/>
      <c r="M51" s="735"/>
      <c r="N51" s="735"/>
      <c r="O51" s="735"/>
      <c r="P51" s="736"/>
      <c r="Q51" s="354"/>
      <c r="R51" s="354"/>
      <c r="S51" s="354"/>
      <c r="T51" s="354"/>
      <c r="V51" s="212"/>
    </row>
    <row r="52" spans="2:22" s="153" customFormat="1" ht="13.5" customHeight="1" thickTop="1">
      <c r="B52" s="1040" t="s">
        <v>109</v>
      </c>
      <c r="C52" s="1041"/>
      <c r="D52" s="1042"/>
      <c r="E52" s="867">
        <f t="shared" ref="E52:O52" si="4">SUM(E7:E50)</f>
        <v>0</v>
      </c>
      <c r="F52" s="868">
        <f t="shared" si="4"/>
        <v>0</v>
      </c>
      <c r="G52" s="868">
        <f t="shared" si="4"/>
        <v>10</v>
      </c>
      <c r="H52" s="868">
        <f t="shared" si="4"/>
        <v>10</v>
      </c>
      <c r="I52" s="868">
        <f t="shared" si="4"/>
        <v>0</v>
      </c>
      <c r="J52" s="868">
        <f t="shared" si="4"/>
        <v>0</v>
      </c>
      <c r="K52" s="868">
        <f t="shared" si="4"/>
        <v>0</v>
      </c>
      <c r="L52" s="868">
        <f t="shared" si="4"/>
        <v>0</v>
      </c>
      <c r="M52" s="868">
        <f t="shared" si="4"/>
        <v>0</v>
      </c>
      <c r="N52" s="868">
        <f t="shared" si="4"/>
        <v>0</v>
      </c>
      <c r="O52" s="868">
        <f t="shared" si="4"/>
        <v>0</v>
      </c>
      <c r="P52" s="746">
        <f>SUM(E52:O52)</f>
        <v>20</v>
      </c>
      <c r="Q52" s="737"/>
      <c r="R52" s="218"/>
      <c r="S52" s="218"/>
      <c r="T52" s="218"/>
      <c r="V52" s="212"/>
    </row>
    <row r="53" spans="2:22" s="153" customFormat="1" ht="12.75" customHeight="1">
      <c r="B53" s="1031" t="s">
        <v>511</v>
      </c>
      <c r="C53" s="1032"/>
      <c r="D53" s="1033"/>
      <c r="E53" s="869"/>
      <c r="F53" s="869">
        <f>SUMIF($Q$7:$Q$50,"S",F7:F50)*($I$5/$G$5)</f>
        <v>0</v>
      </c>
      <c r="G53" s="869">
        <f>SUMIF($Q$7:$Q$50,"S",G7:G50)*($I$5/$G$5)</f>
        <v>10</v>
      </c>
      <c r="H53" s="869">
        <f>SUMIF($Q$7:$Q$50,"S",H7:H50)*($I$5/$G$5)</f>
        <v>10</v>
      </c>
      <c r="I53" s="869">
        <f>SUMIF($Q$7:$Q$50,"S",I7:I50)*($I$5/$G$5)</f>
        <v>0</v>
      </c>
      <c r="J53" s="869">
        <f t="shared" ref="J53:O53" si="5">(((SUMIF($Q$7:$Q$50,"S",J7:J50))*($O$5))/$N$5)</f>
        <v>0</v>
      </c>
      <c r="K53" s="869">
        <f t="shared" si="5"/>
        <v>0</v>
      </c>
      <c r="L53" s="869">
        <f t="shared" si="5"/>
        <v>0</v>
      </c>
      <c r="M53" s="869">
        <f t="shared" si="5"/>
        <v>0</v>
      </c>
      <c r="N53" s="869">
        <f t="shared" si="5"/>
        <v>0</v>
      </c>
      <c r="O53" s="869">
        <f t="shared" si="5"/>
        <v>0</v>
      </c>
      <c r="P53" s="747">
        <f>SUM(E53:O53)</f>
        <v>20</v>
      </c>
      <c r="Q53" s="738"/>
      <c r="R53" s="736"/>
      <c r="S53" s="218"/>
      <c r="T53" s="339"/>
      <c r="V53" s="212"/>
    </row>
    <row r="54" spans="2:22" ht="13.5" customHeight="1" thickBot="1">
      <c r="B54" s="1027" t="s">
        <v>566</v>
      </c>
      <c r="C54" s="1028"/>
      <c r="D54" s="1029"/>
      <c r="E54" s="870"/>
      <c r="F54" s="874">
        <f>SUMIF($R$7:$R$50,"S",F7:F50)*(30/180)</f>
        <v>0</v>
      </c>
      <c r="G54" s="874">
        <f>SUMIF($R$7:$R$50,"S",G7:G50)*(30/180)</f>
        <v>1.6666666666666665</v>
      </c>
      <c r="H54" s="874">
        <f>SUMIF($R$7:$R$50,"S",H7:H50)*(30/180)</f>
        <v>1.6666666666666665</v>
      </c>
      <c r="I54" s="874">
        <f>SUMIF($R$7:$R$50,"S",I7:I50)*(30/180)</f>
        <v>0</v>
      </c>
      <c r="J54" s="870"/>
      <c r="K54" s="870"/>
      <c r="L54" s="870"/>
      <c r="M54" s="870"/>
      <c r="N54" s="870"/>
      <c r="O54" s="870"/>
      <c r="P54" s="748">
        <f>SUM(E54:O54)</f>
        <v>3.333333333333333</v>
      </c>
      <c r="Q54" s="738"/>
      <c r="R54" s="736"/>
      <c r="S54" s="739"/>
      <c r="T54" s="739"/>
    </row>
    <row r="55" spans="2:22" ht="12.75" thickTop="1" thickBot="1">
      <c r="D55" s="749"/>
      <c r="E55" s="863">
        <f t="shared" ref="E55:P55" si="6">SUM(E52:E54)</f>
        <v>0</v>
      </c>
      <c r="F55" s="864">
        <f t="shared" si="6"/>
        <v>0</v>
      </c>
      <c r="G55" s="864">
        <f t="shared" si="6"/>
        <v>21.666666666666668</v>
      </c>
      <c r="H55" s="864">
        <f t="shared" si="6"/>
        <v>21.666666666666668</v>
      </c>
      <c r="I55" s="865">
        <f t="shared" si="6"/>
        <v>0</v>
      </c>
      <c r="J55" s="863">
        <f t="shared" si="6"/>
        <v>0</v>
      </c>
      <c r="K55" s="864">
        <f t="shared" si="6"/>
        <v>0</v>
      </c>
      <c r="L55" s="864">
        <f t="shared" si="6"/>
        <v>0</v>
      </c>
      <c r="M55" s="864">
        <f t="shared" si="6"/>
        <v>0</v>
      </c>
      <c r="N55" s="864">
        <f t="shared" si="6"/>
        <v>0</v>
      </c>
      <c r="O55" s="864">
        <f t="shared" si="6"/>
        <v>0</v>
      </c>
      <c r="P55" s="866">
        <f t="shared" si="6"/>
        <v>43.333333333333336</v>
      </c>
      <c r="Q55" s="736"/>
      <c r="R55" s="736"/>
    </row>
    <row r="56" spans="2:22" ht="7.5" customHeight="1" thickTop="1"/>
    <row r="57" spans="2:22" ht="12.75" customHeight="1">
      <c r="B57" s="887">
        <f>ROUNDUP(SUM(P53:P54),0)</f>
        <v>24</v>
      </c>
      <c r="C57" s="1030" t="s">
        <v>510</v>
      </c>
      <c r="D57" s="1030"/>
      <c r="L57" s="741"/>
    </row>
    <row r="58" spans="2:22">
      <c r="J58" s="740"/>
      <c r="M58" s="741"/>
    </row>
    <row r="60" spans="2:22">
      <c r="H60" s="741"/>
    </row>
    <row r="61" spans="2:22">
      <c r="G61" s="741"/>
    </row>
  </sheetData>
  <sheetProtection password="CADB" sheet="1" objects="1" scenarios="1" formatCells="0" formatColumns="0" formatRows="0"/>
  <mergeCells count="11">
    <mergeCell ref="P5:P6"/>
    <mergeCell ref="S5:S6"/>
    <mergeCell ref="T5:T6"/>
    <mergeCell ref="R5:R6"/>
    <mergeCell ref="Q5:Q6"/>
    <mergeCell ref="B54:D54"/>
    <mergeCell ref="C57:D57"/>
    <mergeCell ref="B53:D53"/>
    <mergeCell ref="G4:I4"/>
    <mergeCell ref="B5:D5"/>
    <mergeCell ref="B52:D52"/>
  </mergeCells>
  <phoneticPr fontId="31" type="noConversion"/>
  <pageMargins left="0.17" right="0.22" top="0.49" bottom="0.43" header="0.18" footer="0.17"/>
  <pageSetup paperSize="9" scale="92" orientation="landscape" r:id="rId1"/>
  <headerFooter alignWithMargins="0">
    <oddFooter>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8"/>
    <pageSetUpPr autoPageBreaks="0"/>
  </sheetPr>
  <dimension ref="A1:BW62"/>
  <sheetViews>
    <sheetView showGridLines="0" showZeros="0" topLeftCell="A2" zoomScaleNormal="100" workbookViewId="0">
      <pane xSplit="7" ySplit="10" topLeftCell="M12" activePane="bottomRight" state="frozenSplit"/>
      <selection activeCell="A2" sqref="A2"/>
      <selection pane="topRight" activeCell="B2" sqref="B2"/>
      <selection pane="bottomLeft" activeCell="A11" sqref="A11"/>
      <selection pane="bottomRight" activeCell="B74" sqref="B74"/>
    </sheetView>
  </sheetViews>
  <sheetFormatPr defaultRowHeight="11.25"/>
  <cols>
    <col min="1" max="1" width="2.7109375" style="147" bestFit="1" customWidth="1"/>
    <col min="2" max="2" width="36.85546875" style="148" customWidth="1"/>
    <col min="3" max="3" width="1.140625" style="148" customWidth="1"/>
    <col min="4" max="4" width="8.140625" style="148" customWidth="1"/>
    <col min="5" max="5" width="1.140625" style="148" customWidth="1"/>
    <col min="6" max="6" width="7" style="149" customWidth="1"/>
    <col min="7" max="7" width="0.7109375" style="148" customWidth="1"/>
    <col min="8" max="8" width="6.140625" style="148" customWidth="1"/>
    <col min="9" max="9" width="6" style="148" customWidth="1"/>
    <col min="10" max="10" width="6.7109375" style="148" customWidth="1"/>
    <col min="11" max="11" width="1.140625" style="148" customWidth="1"/>
    <col min="12" max="12" width="5.28515625" style="148" customWidth="1"/>
    <col min="13" max="13" width="1.28515625" style="148" customWidth="1"/>
    <col min="14" max="14" width="8.140625" style="148" customWidth="1"/>
    <col min="15" max="15" width="0.7109375" style="148" customWidth="1"/>
    <col min="16" max="16" width="8.140625" style="148" customWidth="1"/>
    <col min="17" max="17" width="1" style="908" customWidth="1"/>
    <col min="18" max="18" width="8.42578125" style="148" customWidth="1"/>
    <col min="19" max="19" width="1" style="148" customWidth="1"/>
    <col min="20" max="20" width="4.28515625" style="150" customWidth="1"/>
    <col min="21" max="21" width="1.28515625" style="148" customWidth="1"/>
    <col min="22" max="22" width="7.140625" style="149" customWidth="1"/>
    <col min="23" max="23" width="6.5703125" style="151" customWidth="1"/>
    <col min="24" max="24" width="1.140625" style="148" customWidth="1"/>
    <col min="25" max="25" width="8.42578125" style="148" customWidth="1"/>
    <col min="26" max="26" width="1.140625" style="148" customWidth="1"/>
    <col min="27" max="27" width="7.85546875" style="148" customWidth="1"/>
    <col min="28" max="28" width="1.140625" style="148" customWidth="1"/>
    <col min="29" max="29" width="6.28515625" style="148" hidden="1" customWidth="1"/>
    <col min="30" max="30" width="10.140625" style="149" hidden="1" customWidth="1"/>
    <col min="31" max="31" width="8.28515625" style="151" hidden="1" customWidth="1"/>
    <col min="32" max="32" width="1.85546875" style="148" hidden="1" customWidth="1"/>
    <col min="33" max="33" width="9.85546875" style="148" hidden="1" customWidth="1"/>
    <col min="34" max="34" width="1.85546875" style="148" hidden="1" customWidth="1"/>
    <col min="35" max="35" width="13.42578125" style="148" hidden="1" customWidth="1"/>
    <col min="36" max="36" width="2.42578125" style="148" hidden="1" customWidth="1"/>
    <col min="37" max="37" width="5.42578125" style="148" hidden="1" customWidth="1"/>
    <col min="38" max="38" width="7.42578125" style="149" hidden="1" customWidth="1"/>
    <col min="39" max="39" width="8.28515625" style="151" hidden="1" customWidth="1"/>
    <col min="40" max="40" width="1.85546875" style="148" hidden="1" customWidth="1"/>
    <col min="41" max="41" width="9.85546875" style="148" hidden="1" customWidth="1"/>
    <col min="42" max="42" width="1.85546875" style="148" hidden="1" customWidth="1"/>
    <col min="43" max="43" width="11.140625" style="148" hidden="1" customWidth="1"/>
    <col min="44" max="44" width="2.42578125" style="148" hidden="1" customWidth="1"/>
    <col min="45" max="45" width="5" style="148" hidden="1" customWidth="1"/>
    <col min="46" max="46" width="6.85546875" style="149" hidden="1" customWidth="1"/>
    <col min="47" max="47" width="8.28515625" style="151" hidden="1" customWidth="1"/>
    <col min="48" max="48" width="1.85546875" style="148" hidden="1" customWidth="1"/>
    <col min="49" max="49" width="7.7109375" style="148" hidden="1" customWidth="1"/>
    <col min="50" max="50" width="1.85546875" style="148" hidden="1" customWidth="1"/>
    <col min="51" max="51" width="12.7109375" style="148" hidden="1" customWidth="1"/>
    <col min="52" max="52" width="0.7109375" style="148" customWidth="1"/>
    <col min="53" max="53" width="4.28515625" style="148" customWidth="1"/>
    <col min="54" max="54" width="6.85546875" style="149" customWidth="1"/>
    <col min="55" max="55" width="7.140625" style="151" customWidth="1"/>
    <col min="56" max="56" width="1.85546875" style="148" customWidth="1"/>
    <col min="57" max="57" width="8.140625" style="148" customWidth="1"/>
    <col min="58" max="58" width="1" style="148" customWidth="1"/>
    <col min="59" max="59" width="8" style="148" customWidth="1"/>
    <col min="60" max="60" width="1.42578125" style="148" customWidth="1"/>
    <col min="61" max="61" width="5.140625" style="148" hidden="1" customWidth="1"/>
    <col min="62" max="62" width="10.140625" style="149" hidden="1" customWidth="1"/>
    <col min="63" max="63" width="8.28515625" style="151" hidden="1" customWidth="1"/>
    <col min="64" max="64" width="1.28515625" style="148" hidden="1" customWidth="1"/>
    <col min="65" max="65" width="9.85546875" style="148" hidden="1" customWidth="1"/>
    <col min="66" max="66" width="1.42578125" style="148" hidden="1" customWidth="1"/>
    <col min="67" max="67" width="12" style="148" hidden="1" customWidth="1"/>
    <col min="68" max="68" width="2.42578125" style="148" hidden="1" customWidth="1"/>
    <col min="69" max="69" width="5.140625" style="148" hidden="1" customWidth="1"/>
    <col min="70" max="70" width="8.140625" style="149" hidden="1" customWidth="1"/>
    <col min="71" max="71" width="8.28515625" style="151" hidden="1" customWidth="1"/>
    <col min="72" max="72" width="1.85546875" style="148" hidden="1" customWidth="1"/>
    <col min="73" max="73" width="8.28515625" style="148" hidden="1" customWidth="1"/>
    <col min="74" max="74" width="1.85546875" style="148" hidden="1" customWidth="1"/>
    <col min="75" max="75" width="12.28515625" style="148" hidden="1" customWidth="1"/>
    <col min="76" max="16384" width="9.140625" style="148"/>
  </cols>
  <sheetData>
    <row r="1" spans="1:75" ht="6" customHeight="1"/>
    <row r="2" spans="1:75" ht="6" customHeight="1"/>
    <row r="3" spans="1:75" ht="15.75" customHeight="1">
      <c r="F3" s="148"/>
      <c r="I3" s="872"/>
    </row>
    <row r="4" spans="1:75" ht="9.75" customHeight="1">
      <c r="A4" s="152"/>
      <c r="C4" s="153"/>
      <c r="D4" s="153"/>
      <c r="E4" s="153"/>
      <c r="F4" s="154"/>
      <c r="G4" s="153"/>
      <c r="H4" s="153"/>
      <c r="J4" s="153"/>
      <c r="K4" s="153"/>
      <c r="L4" s="153"/>
      <c r="M4" s="153"/>
      <c r="N4" s="153"/>
      <c r="O4" s="153"/>
      <c r="P4" s="153"/>
      <c r="Q4" s="212"/>
      <c r="R4" s="153"/>
      <c r="S4" s="153"/>
      <c r="T4" s="155"/>
      <c r="U4" s="153"/>
      <c r="V4" s="154"/>
      <c r="W4" s="156"/>
      <c r="X4" s="153"/>
      <c r="Y4" s="153"/>
      <c r="Z4" s="153"/>
      <c r="AA4" s="153"/>
      <c r="AD4" s="154"/>
      <c r="AE4" s="156"/>
      <c r="AF4" s="153"/>
      <c r="AG4" s="153"/>
      <c r="AH4" s="153"/>
      <c r="AI4" s="153"/>
      <c r="AL4" s="154"/>
      <c r="AM4" s="156"/>
      <c r="AN4" s="153"/>
      <c r="AO4" s="153"/>
      <c r="AP4" s="153"/>
      <c r="AQ4" s="153"/>
      <c r="AT4" s="154"/>
      <c r="AU4" s="156"/>
      <c r="AV4" s="153"/>
      <c r="AW4" s="153"/>
      <c r="AX4" s="153"/>
      <c r="AY4" s="153"/>
    </row>
    <row r="5" spans="1:75" ht="17.25" customHeight="1" thickBot="1">
      <c r="B5" s="193" t="s">
        <v>171</v>
      </c>
      <c r="D5" s="1050"/>
      <c r="E5" s="1050"/>
      <c r="G5" s="158"/>
      <c r="H5" s="1051" t="s">
        <v>113</v>
      </c>
      <c r="I5" s="1052"/>
      <c r="J5" s="1052"/>
      <c r="K5" s="1052"/>
      <c r="L5" s="1052"/>
      <c r="M5" s="1052"/>
      <c r="N5" s="1052"/>
      <c r="O5" s="1052"/>
      <c r="P5" s="1052"/>
      <c r="Q5" s="1052"/>
      <c r="R5" s="1053"/>
      <c r="T5" s="1051" t="s">
        <v>182</v>
      </c>
      <c r="U5" s="1052"/>
      <c r="V5" s="1052"/>
      <c r="W5" s="1052"/>
      <c r="X5" s="1052"/>
      <c r="Y5" s="1052"/>
      <c r="Z5" s="1052"/>
      <c r="AA5" s="1053"/>
      <c r="AC5" s="1054" t="s">
        <v>92</v>
      </c>
      <c r="AD5" s="1055"/>
      <c r="AE5" s="1055"/>
      <c r="AF5" s="1055"/>
      <c r="AG5" s="1055"/>
      <c r="AH5" s="1055"/>
      <c r="AI5" s="1056"/>
      <c r="AK5" s="1051" t="s">
        <v>94</v>
      </c>
      <c r="AL5" s="1052"/>
      <c r="AM5" s="1052"/>
      <c r="AN5" s="1052"/>
      <c r="AO5" s="1052"/>
      <c r="AP5" s="1052"/>
      <c r="AQ5" s="1053"/>
      <c r="AS5" s="1051" t="s">
        <v>95</v>
      </c>
      <c r="AT5" s="1052"/>
      <c r="AU5" s="1052"/>
      <c r="AV5" s="1052"/>
      <c r="AW5" s="1052"/>
      <c r="AX5" s="1052"/>
      <c r="AY5" s="1053"/>
      <c r="BA5" s="1051" t="s">
        <v>10</v>
      </c>
      <c r="BB5" s="1052"/>
      <c r="BC5" s="1052"/>
      <c r="BD5" s="1052"/>
      <c r="BE5" s="1052"/>
      <c r="BF5" s="1052"/>
      <c r="BG5" s="1053"/>
      <c r="BI5" s="1047" t="s">
        <v>399</v>
      </c>
      <c r="BJ5" s="1048"/>
      <c r="BK5" s="1048"/>
      <c r="BL5" s="1048"/>
      <c r="BM5" s="1048"/>
      <c r="BN5" s="1048"/>
      <c r="BO5" s="1049"/>
      <c r="BQ5" s="1047" t="s">
        <v>399</v>
      </c>
      <c r="BR5" s="1048"/>
      <c r="BS5" s="1048"/>
      <c r="BT5" s="1048"/>
      <c r="BU5" s="1048"/>
      <c r="BV5" s="1048"/>
      <c r="BW5" s="1049"/>
    </row>
    <row r="6" spans="1:75" ht="17.25" customHeight="1">
      <c r="D6" s="157">
        <f>F13*L13</f>
        <v>30</v>
      </c>
      <c r="E6" s="157"/>
      <c r="G6" s="158"/>
      <c r="H6" s="157"/>
      <c r="I6" s="157"/>
      <c r="J6" s="153"/>
      <c r="K6" s="153"/>
      <c r="L6" s="157"/>
      <c r="M6" s="153"/>
      <c r="N6" s="159"/>
      <c r="O6" s="157"/>
      <c r="P6" s="157"/>
      <c r="Q6" s="212"/>
      <c r="R6" s="157"/>
      <c r="T6" s="160"/>
      <c r="U6" s="161"/>
      <c r="V6" s="162"/>
      <c r="W6" s="163"/>
      <c r="X6" s="159"/>
      <c r="Y6" s="157"/>
      <c r="Z6" s="153"/>
      <c r="AA6" s="157"/>
      <c r="AD6" s="162"/>
      <c r="AE6" s="163"/>
      <c r="AF6" s="159"/>
      <c r="AG6" s="157"/>
      <c r="AH6" s="153"/>
      <c r="AI6" s="157"/>
      <c r="AL6" s="162"/>
      <c r="AM6" s="163"/>
      <c r="AN6" s="159"/>
      <c r="AO6" s="157"/>
      <c r="AP6" s="153"/>
      <c r="AQ6" s="157"/>
      <c r="AT6" s="162"/>
      <c r="AU6" s="163"/>
      <c r="AV6" s="159"/>
      <c r="AW6" s="157"/>
      <c r="AX6" s="153"/>
      <c r="AY6" s="157"/>
      <c r="BB6" s="162"/>
      <c r="BC6" s="163"/>
      <c r="BD6" s="159"/>
      <c r="BE6" s="157"/>
      <c r="BF6" s="153"/>
      <c r="BG6" s="157"/>
      <c r="BJ6" s="162"/>
      <c r="BK6" s="163"/>
      <c r="BL6" s="159"/>
      <c r="BM6" s="157"/>
      <c r="BN6" s="153"/>
      <c r="BO6" s="157"/>
      <c r="BR6" s="162"/>
      <c r="BS6" s="163"/>
      <c r="BT6" s="159"/>
      <c r="BU6" s="157"/>
      <c r="BV6" s="153"/>
      <c r="BW6" s="157"/>
    </row>
    <row r="7" spans="1:75" ht="17.25" customHeight="1" thickBot="1">
      <c r="D7" s="157"/>
      <c r="E7" s="157"/>
      <c r="G7" s="158"/>
      <c r="H7" s="157"/>
      <c r="I7" s="157"/>
      <c r="J7" s="153"/>
      <c r="K7" s="153"/>
      <c r="L7" s="157"/>
      <c r="M7" s="153"/>
      <c r="N7" s="159"/>
      <c r="O7" s="157"/>
      <c r="P7" s="188" t="s">
        <v>44</v>
      </c>
      <c r="Q7" s="212"/>
      <c r="R7" s="613">
        <f>TRUNC((SUM(R13:R57)),2)</f>
        <v>0</v>
      </c>
      <c r="T7" s="160"/>
      <c r="U7" s="161"/>
      <c r="V7" s="162"/>
      <c r="W7" s="163"/>
      <c r="X7" s="159"/>
      <c r="Y7" s="188" t="s">
        <v>44</v>
      </c>
      <c r="Z7" s="153"/>
      <c r="AA7" s="613">
        <f>TRUNC((SUM(AA13:AA57)),2)</f>
        <v>0</v>
      </c>
      <c r="AD7" s="162"/>
      <c r="AE7" s="163"/>
      <c r="AF7" s="159"/>
      <c r="AG7" s="197" t="s">
        <v>44</v>
      </c>
      <c r="AH7" s="153"/>
      <c r="AI7" s="610">
        <f>TRUNC((SUM(AI13:AI57)),2)</f>
        <v>0</v>
      </c>
      <c r="AL7" s="162"/>
      <c r="AM7" s="163"/>
      <c r="AN7" s="159"/>
      <c r="AO7" s="188" t="s">
        <v>44</v>
      </c>
      <c r="AP7" s="153"/>
      <c r="AQ7" s="613">
        <f>TRUNC((SUM(AQ13:AQ57)),2)</f>
        <v>0</v>
      </c>
      <c r="AT7" s="162"/>
      <c r="AU7" s="163"/>
      <c r="AV7" s="159"/>
      <c r="AW7" s="202" t="s">
        <v>44</v>
      </c>
      <c r="AY7" s="613">
        <f>TRUNC((SUM(AY13:AY57)),2)</f>
        <v>0</v>
      </c>
      <c r="BB7" s="162"/>
      <c r="BC7" s="163"/>
      <c r="BD7" s="159"/>
      <c r="BE7" s="188" t="s">
        <v>44</v>
      </c>
      <c r="BF7" s="153"/>
      <c r="BG7" s="613">
        <f>TRUNC((SUM(BG13:BG57)),2)</f>
        <v>0</v>
      </c>
      <c r="BJ7" s="162"/>
      <c r="BK7" s="163"/>
      <c r="BL7" s="159"/>
      <c r="BM7" s="188" t="s">
        <v>44</v>
      </c>
      <c r="BN7" s="153"/>
      <c r="BO7" s="613">
        <f>TRUNC((SUM(BO13:BO57)),2)</f>
        <v>0</v>
      </c>
      <c r="BR7" s="162"/>
      <c r="BS7" s="163"/>
      <c r="BT7" s="159"/>
      <c r="BU7" s="188" t="s">
        <v>44</v>
      </c>
      <c r="BV7" s="153"/>
      <c r="BW7" s="613">
        <f>TRUNC((SUM(BW13:BW57)),2)</f>
        <v>0</v>
      </c>
    </row>
    <row r="8" spans="1:75" s="164" customFormat="1" ht="10.5" customHeight="1">
      <c r="B8" s="165">
        <v>1</v>
      </c>
      <c r="D8" s="165">
        <v>2</v>
      </c>
      <c r="F8" s="165">
        <v>3</v>
      </c>
      <c r="H8" s="165">
        <v>4</v>
      </c>
      <c r="I8" s="165">
        <v>5</v>
      </c>
      <c r="J8" s="165">
        <v>6</v>
      </c>
      <c r="L8" s="165">
        <v>7</v>
      </c>
      <c r="N8" s="165">
        <v>8</v>
      </c>
      <c r="P8" s="165">
        <v>9</v>
      </c>
      <c r="Q8" s="909"/>
      <c r="R8" s="165">
        <v>10</v>
      </c>
      <c r="T8" s="165">
        <v>11</v>
      </c>
      <c r="V8" s="165">
        <v>12</v>
      </c>
      <c r="W8" s="165">
        <v>13</v>
      </c>
      <c r="Y8" s="165">
        <v>14</v>
      </c>
      <c r="AA8" s="165">
        <v>15</v>
      </c>
      <c r="AC8" s="165">
        <v>16</v>
      </c>
      <c r="AD8" s="165">
        <v>17</v>
      </c>
      <c r="AE8" s="165">
        <v>18</v>
      </c>
      <c r="AG8" s="165">
        <v>19</v>
      </c>
      <c r="AI8" s="165">
        <v>20</v>
      </c>
      <c r="AK8" s="165">
        <v>21</v>
      </c>
      <c r="AL8" s="165">
        <v>22</v>
      </c>
      <c r="AM8" s="165">
        <v>23</v>
      </c>
      <c r="AO8" s="165">
        <v>24</v>
      </c>
      <c r="AQ8" s="165">
        <v>25</v>
      </c>
      <c r="AS8" s="165">
        <v>26</v>
      </c>
      <c r="AT8" s="165">
        <v>27</v>
      </c>
      <c r="AU8" s="165">
        <v>28</v>
      </c>
      <c r="AW8" s="165">
        <v>29</v>
      </c>
      <c r="AY8" s="165">
        <v>30</v>
      </c>
      <c r="BA8" s="165">
        <v>31</v>
      </c>
      <c r="BB8" s="165">
        <v>32</v>
      </c>
      <c r="BC8" s="165">
        <v>33</v>
      </c>
      <c r="BE8" s="165">
        <v>34</v>
      </c>
      <c r="BG8" s="165">
        <v>35</v>
      </c>
      <c r="BI8" s="165">
        <v>36</v>
      </c>
      <c r="BJ8" s="165">
        <v>37</v>
      </c>
      <c r="BK8" s="165">
        <v>38</v>
      </c>
      <c r="BM8" s="165">
        <v>39</v>
      </c>
      <c r="BO8" s="165">
        <v>40</v>
      </c>
      <c r="BQ8" s="165">
        <v>41</v>
      </c>
      <c r="BR8" s="165">
        <v>42</v>
      </c>
      <c r="BS8" s="165">
        <v>43</v>
      </c>
      <c r="BU8" s="165">
        <v>44</v>
      </c>
      <c r="BW8" s="165">
        <v>45</v>
      </c>
    </row>
    <row r="9" spans="1:75" ht="27" customHeight="1" thickBot="1">
      <c r="B9" s="183" t="s">
        <v>87</v>
      </c>
      <c r="C9" s="166"/>
      <c r="D9" s="184" t="s">
        <v>459</v>
      </c>
      <c r="E9" s="166"/>
      <c r="F9" s="185" t="s">
        <v>96</v>
      </c>
      <c r="G9" s="158"/>
      <c r="H9" s="183" t="s">
        <v>90</v>
      </c>
      <c r="I9" s="183" t="s">
        <v>115</v>
      </c>
      <c r="J9" s="186" t="s">
        <v>9</v>
      </c>
      <c r="K9" s="167"/>
      <c r="L9" s="183" t="s">
        <v>106</v>
      </c>
      <c r="N9" s="183" t="s">
        <v>89</v>
      </c>
      <c r="O9" s="157"/>
      <c r="P9" s="183" t="s">
        <v>11</v>
      </c>
      <c r="R9" s="183" t="s">
        <v>82</v>
      </c>
      <c r="T9" s="187" t="s">
        <v>65</v>
      </c>
      <c r="U9" s="161"/>
      <c r="V9" s="185" t="s">
        <v>80</v>
      </c>
      <c r="W9" s="186" t="s">
        <v>9</v>
      </c>
      <c r="X9" s="167"/>
      <c r="Y9" s="183" t="s">
        <v>114</v>
      </c>
      <c r="AA9" s="183" t="s">
        <v>82</v>
      </c>
      <c r="AC9" s="187" t="s">
        <v>65</v>
      </c>
      <c r="AD9" s="185" t="s">
        <v>80</v>
      </c>
      <c r="AE9" s="186" t="s">
        <v>9</v>
      </c>
      <c r="AF9" s="167"/>
      <c r="AG9" s="183" t="s">
        <v>114</v>
      </c>
      <c r="AI9" s="183" t="s">
        <v>82</v>
      </c>
      <c r="AK9" s="200" t="s">
        <v>65</v>
      </c>
      <c r="AL9" s="201" t="s">
        <v>80</v>
      </c>
      <c r="AM9" s="186" t="s">
        <v>9</v>
      </c>
      <c r="AN9" s="167"/>
      <c r="AO9" s="183" t="s">
        <v>11</v>
      </c>
      <c r="AQ9" s="183" t="s">
        <v>82</v>
      </c>
      <c r="AS9" s="187" t="s">
        <v>65</v>
      </c>
      <c r="AT9" s="185" t="s">
        <v>80</v>
      </c>
      <c r="AU9" s="186" t="s">
        <v>9</v>
      </c>
      <c r="AV9" s="167"/>
      <c r="AW9" s="183" t="s">
        <v>11</v>
      </c>
      <c r="AY9" s="183" t="s">
        <v>82</v>
      </c>
      <c r="BA9" s="187" t="s">
        <v>65</v>
      </c>
      <c r="BB9" s="185" t="s">
        <v>80</v>
      </c>
      <c r="BC9" s="186" t="s">
        <v>9</v>
      </c>
      <c r="BD9" s="167"/>
      <c r="BE9" s="183" t="s">
        <v>11</v>
      </c>
      <c r="BG9" s="183" t="s">
        <v>82</v>
      </c>
      <c r="BI9" s="187" t="s">
        <v>65</v>
      </c>
      <c r="BJ9" s="185" t="s">
        <v>80</v>
      </c>
      <c r="BK9" s="186" t="s">
        <v>9</v>
      </c>
      <c r="BL9" s="167"/>
      <c r="BM9" s="183" t="s">
        <v>11</v>
      </c>
      <c r="BO9" s="183" t="s">
        <v>82</v>
      </c>
      <c r="BQ9" s="187" t="s">
        <v>65</v>
      </c>
      <c r="BR9" s="185" t="s">
        <v>80</v>
      </c>
      <c r="BS9" s="186" t="s">
        <v>9</v>
      </c>
      <c r="BT9" s="167"/>
      <c r="BU9" s="183" t="s">
        <v>11</v>
      </c>
      <c r="BW9" s="183" t="s">
        <v>82</v>
      </c>
    </row>
    <row r="10" spans="1:75" ht="3.75" customHeight="1">
      <c r="B10" s="157"/>
      <c r="C10" s="166"/>
      <c r="D10" s="166"/>
      <c r="E10" s="166"/>
      <c r="F10" s="162"/>
      <c r="G10" s="158"/>
      <c r="H10" s="157"/>
      <c r="I10" s="157"/>
      <c r="J10" s="167"/>
      <c r="K10" s="167"/>
      <c r="L10" s="157"/>
      <c r="N10" s="157"/>
      <c r="O10" s="157"/>
      <c r="P10" s="157"/>
      <c r="R10" s="157"/>
      <c r="T10" s="160"/>
      <c r="U10" s="161"/>
      <c r="V10" s="162"/>
      <c r="W10" s="163"/>
      <c r="X10" s="167"/>
      <c r="Y10" s="157"/>
      <c r="AA10" s="157"/>
      <c r="AC10" s="160"/>
      <c r="AD10" s="162"/>
      <c r="AE10" s="163"/>
      <c r="AF10" s="167"/>
      <c r="AG10" s="157"/>
      <c r="AI10" s="157"/>
      <c r="AK10" s="160"/>
      <c r="AL10" s="162"/>
      <c r="AM10" s="163"/>
      <c r="AN10" s="167"/>
      <c r="AO10" s="157"/>
      <c r="AQ10" s="157"/>
      <c r="AS10" s="160"/>
      <c r="AT10" s="162"/>
      <c r="AU10" s="163"/>
      <c r="AV10" s="167"/>
      <c r="AW10" s="157"/>
      <c r="AY10" s="157"/>
      <c r="BA10" s="160"/>
      <c r="BB10" s="162"/>
      <c r="BC10" s="163"/>
      <c r="BD10" s="167"/>
      <c r="BE10" s="157"/>
      <c r="BG10" s="157"/>
      <c r="BI10" s="160"/>
      <c r="BJ10" s="162"/>
      <c r="BK10" s="163"/>
      <c r="BL10" s="167"/>
      <c r="BM10" s="157"/>
      <c r="BO10" s="157"/>
      <c r="BQ10" s="160"/>
      <c r="BR10" s="162"/>
      <c r="BS10" s="163"/>
      <c r="BT10" s="167"/>
      <c r="BU10" s="157"/>
      <c r="BW10" s="157"/>
    </row>
    <row r="11" spans="1:75" ht="3.75" customHeight="1">
      <c r="B11" s="157"/>
      <c r="C11" s="166"/>
      <c r="D11" s="166"/>
      <c r="E11" s="166"/>
      <c r="F11" s="162"/>
      <c r="G11" s="158"/>
      <c r="H11" s="157"/>
      <c r="I11" s="157"/>
      <c r="J11" s="167"/>
      <c r="K11" s="167"/>
      <c r="L11" s="157"/>
      <c r="N11" s="157"/>
      <c r="O11" s="157"/>
      <c r="P11" s="157"/>
      <c r="R11" s="157"/>
      <c r="T11" s="160"/>
      <c r="U11" s="161"/>
      <c r="V11" s="162"/>
      <c r="W11" s="163"/>
      <c r="X11" s="167"/>
      <c r="Y11" s="157"/>
      <c r="AA11" s="157"/>
      <c r="AC11" s="160"/>
      <c r="AD11" s="162"/>
      <c r="AE11" s="163"/>
      <c r="AF11" s="167"/>
      <c r="AG11" s="157"/>
      <c r="AI11" s="157"/>
      <c r="AK11" s="160"/>
      <c r="AL11" s="162"/>
      <c r="AM11" s="163"/>
      <c r="AN11" s="167"/>
      <c r="AO11" s="157"/>
      <c r="AQ11" s="157"/>
      <c r="AS11" s="160"/>
      <c r="AT11" s="162"/>
      <c r="AU11" s="163"/>
      <c r="AV11" s="167"/>
      <c r="AW11" s="157"/>
      <c r="AY11" s="157"/>
      <c r="BA11" s="160"/>
      <c r="BB11" s="162"/>
      <c r="BC11" s="163"/>
      <c r="BD11" s="167"/>
      <c r="BE11" s="157"/>
      <c r="BG11" s="157"/>
      <c r="BI11" s="160"/>
      <c r="BJ11" s="162"/>
      <c r="BK11" s="163"/>
      <c r="BL11" s="167"/>
      <c r="BM11" s="157"/>
      <c r="BO11" s="157"/>
      <c r="BQ11" s="160"/>
      <c r="BR11" s="162"/>
      <c r="BS11" s="163"/>
      <c r="BT11" s="167"/>
      <c r="BU11" s="157"/>
      <c r="BW11" s="157"/>
    </row>
    <row r="12" spans="1:75" ht="3.75" customHeight="1">
      <c r="B12" s="168"/>
      <c r="C12" s="168"/>
      <c r="D12" s="168"/>
      <c r="E12" s="168"/>
      <c r="F12" s="169"/>
      <c r="G12" s="170"/>
      <c r="H12" s="171"/>
      <c r="I12" s="172"/>
      <c r="J12" s="172"/>
      <c r="K12" s="172"/>
      <c r="L12" s="173"/>
      <c r="N12" s="173"/>
      <c r="O12" s="173"/>
      <c r="P12" s="173"/>
      <c r="R12" s="173"/>
      <c r="T12" s="174"/>
      <c r="U12" s="175"/>
      <c r="V12" s="176"/>
      <c r="W12" s="177"/>
      <c r="X12" s="172"/>
      <c r="Y12" s="173"/>
      <c r="AA12" s="173"/>
      <c r="AC12" s="174"/>
      <c r="AD12" s="176"/>
      <c r="AE12" s="177"/>
      <c r="AF12" s="172"/>
      <c r="AG12" s="173"/>
      <c r="AI12" s="173"/>
      <c r="AK12" s="174"/>
      <c r="AL12" s="176"/>
      <c r="AM12" s="177"/>
      <c r="AN12" s="172"/>
      <c r="AO12" s="173"/>
      <c r="AQ12" s="173"/>
      <c r="AS12" s="174"/>
      <c r="AT12" s="176"/>
      <c r="AU12" s="177"/>
      <c r="AV12" s="172"/>
      <c r="AW12" s="173"/>
      <c r="AY12" s="173"/>
      <c r="BA12" s="174"/>
      <c r="BB12" s="176"/>
      <c r="BC12" s="177"/>
      <c r="BD12" s="172"/>
      <c r="BE12" s="173"/>
      <c r="BG12" s="173"/>
      <c r="BI12" s="174"/>
      <c r="BJ12" s="176"/>
      <c r="BK12" s="177"/>
      <c r="BL12" s="172"/>
      <c r="BM12" s="173"/>
      <c r="BO12" s="173"/>
      <c r="BQ12" s="174"/>
      <c r="BR12" s="176"/>
      <c r="BS12" s="177"/>
      <c r="BT12" s="172"/>
      <c r="BU12" s="173"/>
      <c r="BW12" s="173"/>
    </row>
    <row r="13" spans="1:75" ht="22.5">
      <c r="A13" s="147">
        <v>1</v>
      </c>
      <c r="B13" s="599" t="str">
        <f>Efetivo!B13</f>
        <v>Vigilante Patrulha 05 Eixo Viário Móvel DIURNO</v>
      </c>
      <c r="C13" s="600"/>
      <c r="D13" s="601">
        <f>Efetivo!T13</f>
        <v>0</v>
      </c>
      <c r="E13" s="600"/>
      <c r="F13" s="602">
        <f>Efetivo!E13+Efetivo!CC13</f>
        <v>2</v>
      </c>
      <c r="G13" s="179"/>
      <c r="H13" s="189">
        <v>2</v>
      </c>
      <c r="I13" s="190"/>
      <c r="J13" s="191"/>
      <c r="K13" s="180"/>
      <c r="L13" s="602">
        <f>Efetivo!BZ13</f>
        <v>15</v>
      </c>
      <c r="M13" s="607"/>
      <c r="N13" s="601">
        <f>SUM(I13*H13)*L13</f>
        <v>0</v>
      </c>
      <c r="O13" s="608"/>
      <c r="P13" s="601">
        <f>IF(N13+Q13&lt;0,-N13,Q13)</f>
        <v>0</v>
      </c>
      <c r="Q13" s="908">
        <f>-(IF(D13*J13&gt;N13,N13,(D13*J13)))</f>
        <v>0</v>
      </c>
      <c r="R13" s="601">
        <f>IF((N13+P13)*F13&gt;0,(N13+P13)*F13,0)</f>
        <v>0</v>
      </c>
      <c r="S13" s="607"/>
      <c r="T13" s="602">
        <f t="shared" ref="T13:T56" si="0">L13</f>
        <v>15</v>
      </c>
      <c r="U13" s="181"/>
      <c r="V13" s="190"/>
      <c r="W13" s="488"/>
      <c r="X13" s="180"/>
      <c r="Y13" s="601">
        <f>-(V13*W13)</f>
        <v>0</v>
      </c>
      <c r="Z13" s="607"/>
      <c r="AA13" s="601">
        <f t="shared" ref="AA13:AA56" si="1">((V13+Y13)*T13)*$F13</f>
        <v>0</v>
      </c>
      <c r="AC13" s="611">
        <f>F13+Efetivo!CJ13</f>
        <v>2</v>
      </c>
      <c r="AD13" s="194"/>
      <c r="AE13" s="195"/>
      <c r="AF13" s="180"/>
      <c r="AG13" s="601">
        <f t="shared" ref="AG13:AG57" si="2">-(AD13*AE13)</f>
        <v>0</v>
      </c>
      <c r="AH13" s="607"/>
      <c r="AI13" s="601">
        <f>((AD13+AG13)*AC13)</f>
        <v>0</v>
      </c>
      <c r="AK13" s="611">
        <f>AC13</f>
        <v>2</v>
      </c>
      <c r="AL13" s="194"/>
      <c r="AM13" s="195"/>
      <c r="AN13" s="180"/>
      <c r="AO13" s="601">
        <f t="shared" ref="AO13:AO57" si="3">-(AL13*AM13)</f>
        <v>0</v>
      </c>
      <c r="AP13" s="607"/>
      <c r="AQ13" s="601">
        <f>((AL13+AO13)*AK13)</f>
        <v>0</v>
      </c>
      <c r="AS13" s="611">
        <f>AK13</f>
        <v>2</v>
      </c>
      <c r="AT13" s="194"/>
      <c r="AU13" s="195"/>
      <c r="AV13" s="180"/>
      <c r="AW13" s="601">
        <f t="shared" ref="AW13:AW57" si="4">-(AT13*AU13)</f>
        <v>0</v>
      </c>
      <c r="AX13" s="607"/>
      <c r="AY13" s="601">
        <f>((AT13+AW13)*AS13)</f>
        <v>0</v>
      </c>
      <c r="BA13" s="611">
        <f>AS13</f>
        <v>2</v>
      </c>
      <c r="BB13" s="194"/>
      <c r="BC13" s="195"/>
      <c r="BD13" s="608"/>
      <c r="BE13" s="601">
        <f t="shared" ref="BE13:BE56" si="5">-(BB13*BC13)</f>
        <v>0</v>
      </c>
      <c r="BG13" s="601">
        <f>((BB13+BE13)*BA13)</f>
        <v>0</v>
      </c>
      <c r="BI13" s="611">
        <f>BA13</f>
        <v>2</v>
      </c>
      <c r="BJ13" s="194"/>
      <c r="BK13" s="195"/>
      <c r="BL13" s="180"/>
      <c r="BM13" s="601">
        <f t="shared" ref="BM13:BM57" si="6">-(BJ13*BK13)</f>
        <v>0</v>
      </c>
      <c r="BN13" s="607"/>
      <c r="BO13" s="601">
        <f>((BJ13+BM13)*BI13)</f>
        <v>0</v>
      </c>
      <c r="BQ13" s="611">
        <f>BI13</f>
        <v>2</v>
      </c>
      <c r="BR13" s="194"/>
      <c r="BS13" s="195"/>
      <c r="BT13" s="180"/>
      <c r="BU13" s="601">
        <f t="shared" ref="BU13:BU57" si="7">-(BR13*BS13)</f>
        <v>0</v>
      </c>
      <c r="BV13" s="607"/>
      <c r="BW13" s="601">
        <f>((BR13+BU13)*BQ13)</f>
        <v>0</v>
      </c>
    </row>
    <row r="14" spans="1:75" ht="22.5">
      <c r="A14" s="147">
        <v>2</v>
      </c>
      <c r="B14" s="599" t="str">
        <f>Efetivo!B14</f>
        <v>Vigilante Patrulha 05 Eixo Viário Móvel NOTURNO</v>
      </c>
      <c r="C14" s="600"/>
      <c r="D14" s="601">
        <f>Efetivo!T14</f>
        <v>0</v>
      </c>
      <c r="E14" s="600"/>
      <c r="F14" s="602">
        <f>Efetivo!E14+Efetivo!CC14</f>
        <v>2</v>
      </c>
      <c r="G14" s="179"/>
      <c r="H14" s="189">
        <v>2</v>
      </c>
      <c r="I14" s="190"/>
      <c r="J14" s="191"/>
      <c r="K14" s="180"/>
      <c r="L14" s="602">
        <f>Efetivo!BZ14</f>
        <v>15</v>
      </c>
      <c r="M14" s="607"/>
      <c r="N14" s="601">
        <f t="shared" ref="N14:N57" si="8">L14*(I14*H14)</f>
        <v>0</v>
      </c>
      <c r="O14" s="608"/>
      <c r="P14" s="601">
        <f t="shared" ref="P14:P55" si="9">IF(N14+Q14&lt;0,-N14,Q14)</f>
        <v>0</v>
      </c>
      <c r="Q14" s="908">
        <f t="shared" ref="Q14:Q57" si="10">-(IF(D14*J14&gt;N14,N14,(D14*J14)))</f>
        <v>0</v>
      </c>
      <c r="R14" s="601">
        <f t="shared" ref="R14:R57" si="11">IF((N14+P14)*F14&gt;0,(N14+P14)*F14,0)</f>
        <v>0</v>
      </c>
      <c r="S14" s="607"/>
      <c r="T14" s="602">
        <f t="shared" si="0"/>
        <v>15</v>
      </c>
      <c r="U14" s="181"/>
      <c r="V14" s="190"/>
      <c r="W14" s="192"/>
      <c r="X14" s="180"/>
      <c r="Y14" s="601">
        <f t="shared" ref="Y14:Y56" si="12">-(V14*W14)</f>
        <v>0</v>
      </c>
      <c r="Z14" s="607"/>
      <c r="AA14" s="601">
        <f t="shared" si="1"/>
        <v>0</v>
      </c>
      <c r="AC14" s="611">
        <f>F14+Efetivo!CJ14</f>
        <v>2</v>
      </c>
      <c r="AD14" s="194"/>
      <c r="AE14" s="195"/>
      <c r="AF14" s="180"/>
      <c r="AG14" s="601">
        <f t="shared" si="2"/>
        <v>0</v>
      </c>
      <c r="AH14" s="607"/>
      <c r="AI14" s="601">
        <f t="shared" ref="AI14:AI57" si="13">((AD14+AG14)*AC14)</f>
        <v>0</v>
      </c>
      <c r="AK14" s="611">
        <f t="shared" ref="AK14:AK57" si="14">AC14</f>
        <v>2</v>
      </c>
      <c r="AL14" s="194"/>
      <c r="AM14" s="195"/>
      <c r="AN14" s="180"/>
      <c r="AO14" s="601">
        <f t="shared" si="3"/>
        <v>0</v>
      </c>
      <c r="AP14" s="607"/>
      <c r="AQ14" s="601">
        <f t="shared" ref="AQ14:AQ57" si="15">((AL14+AO14)*AK14)</f>
        <v>0</v>
      </c>
      <c r="AS14" s="611">
        <f t="shared" ref="AS14:AS56" si="16">AK14</f>
        <v>2</v>
      </c>
      <c r="AT14" s="194"/>
      <c r="AU14" s="195"/>
      <c r="AV14" s="180"/>
      <c r="AW14" s="601">
        <f t="shared" si="4"/>
        <v>0</v>
      </c>
      <c r="AX14" s="607"/>
      <c r="AY14" s="601">
        <f t="shared" ref="AY14:AY57" si="17">((AT14+AW14)*AS14)</f>
        <v>0</v>
      </c>
      <c r="BA14" s="611">
        <f t="shared" ref="BA14:BA56" si="18">AS14</f>
        <v>2</v>
      </c>
      <c r="BB14" s="194"/>
      <c r="BC14" s="195"/>
      <c r="BD14" s="608"/>
      <c r="BE14" s="601">
        <f t="shared" si="5"/>
        <v>0</v>
      </c>
      <c r="BG14" s="601">
        <f t="shared" ref="BG14:BG56" si="19">((BB14+BE14)*BA14)</f>
        <v>0</v>
      </c>
      <c r="BI14" s="611">
        <f t="shared" ref="BI14:BI56" si="20">BA14</f>
        <v>2</v>
      </c>
      <c r="BJ14" s="194"/>
      <c r="BK14" s="195"/>
      <c r="BL14" s="180"/>
      <c r="BM14" s="601">
        <f t="shared" si="6"/>
        <v>0</v>
      </c>
      <c r="BN14" s="607"/>
      <c r="BO14" s="601">
        <f t="shared" ref="BO14:BO57" si="21">((BJ14+BM14)*BI14)</f>
        <v>0</v>
      </c>
      <c r="BQ14" s="611">
        <f t="shared" ref="BQ14:BQ56" si="22">BI14</f>
        <v>2</v>
      </c>
      <c r="BR14" s="194"/>
      <c r="BS14" s="195"/>
      <c r="BT14" s="180"/>
      <c r="BU14" s="601">
        <f t="shared" si="7"/>
        <v>0</v>
      </c>
      <c r="BV14" s="607"/>
      <c r="BW14" s="601">
        <f t="shared" ref="BW14:BW57" si="23">((BR14+BU14)*BQ14)</f>
        <v>0</v>
      </c>
    </row>
    <row r="15" spans="1:75">
      <c r="A15" s="147">
        <v>3</v>
      </c>
      <c r="B15" s="599" t="str">
        <f>Efetivo!B15</f>
        <v>Vigilante Patrulha 06 Sistema 15 x 33 DIURNO</v>
      </c>
      <c r="C15" s="600"/>
      <c r="D15" s="601">
        <f>Efetivo!T15</f>
        <v>0</v>
      </c>
      <c r="E15" s="600"/>
      <c r="F15" s="602">
        <f>Efetivo!E15+Efetivo!CC15</f>
        <v>2</v>
      </c>
      <c r="G15" s="179"/>
      <c r="H15" s="189">
        <f>H14</f>
        <v>2</v>
      </c>
      <c r="I15" s="190"/>
      <c r="J15" s="191"/>
      <c r="K15" s="180"/>
      <c r="L15" s="602">
        <f>Efetivo!BZ15</f>
        <v>15</v>
      </c>
      <c r="M15" s="607"/>
      <c r="N15" s="601">
        <f t="shared" si="8"/>
        <v>0</v>
      </c>
      <c r="O15" s="608"/>
      <c r="P15" s="601">
        <f t="shared" si="9"/>
        <v>0</v>
      </c>
      <c r="Q15" s="908">
        <f t="shared" si="10"/>
        <v>0</v>
      </c>
      <c r="R15" s="601">
        <f t="shared" si="11"/>
        <v>0</v>
      </c>
      <c r="S15" s="607"/>
      <c r="T15" s="602">
        <f t="shared" si="0"/>
        <v>15</v>
      </c>
      <c r="U15" s="181"/>
      <c r="V15" s="190"/>
      <c r="W15" s="192"/>
      <c r="X15" s="180"/>
      <c r="Y15" s="601">
        <f t="shared" si="12"/>
        <v>0</v>
      </c>
      <c r="Z15" s="607"/>
      <c r="AA15" s="601">
        <f t="shared" si="1"/>
        <v>0</v>
      </c>
      <c r="AC15" s="611">
        <f>F15+Efetivo!CJ15</f>
        <v>2</v>
      </c>
      <c r="AD15" s="194"/>
      <c r="AE15" s="195"/>
      <c r="AF15" s="180"/>
      <c r="AG15" s="601">
        <f t="shared" si="2"/>
        <v>0</v>
      </c>
      <c r="AH15" s="607"/>
      <c r="AI15" s="601">
        <f t="shared" si="13"/>
        <v>0</v>
      </c>
      <c r="AK15" s="611">
        <f t="shared" si="14"/>
        <v>2</v>
      </c>
      <c r="AL15" s="194"/>
      <c r="AM15" s="195"/>
      <c r="AN15" s="180"/>
      <c r="AO15" s="601">
        <f t="shared" si="3"/>
        <v>0</v>
      </c>
      <c r="AP15" s="607"/>
      <c r="AQ15" s="601">
        <f t="shared" si="15"/>
        <v>0</v>
      </c>
      <c r="AS15" s="611">
        <f t="shared" si="16"/>
        <v>2</v>
      </c>
      <c r="AT15" s="194"/>
      <c r="AU15" s="195"/>
      <c r="AV15" s="180"/>
      <c r="AW15" s="601">
        <f t="shared" si="4"/>
        <v>0</v>
      </c>
      <c r="AX15" s="607"/>
      <c r="AY15" s="601">
        <f t="shared" si="17"/>
        <v>0</v>
      </c>
      <c r="BA15" s="611">
        <f t="shared" si="18"/>
        <v>2</v>
      </c>
      <c r="BB15" s="194"/>
      <c r="BC15" s="195"/>
      <c r="BD15" s="608"/>
      <c r="BE15" s="601">
        <f t="shared" si="5"/>
        <v>0</v>
      </c>
      <c r="BG15" s="601">
        <f t="shared" si="19"/>
        <v>0</v>
      </c>
      <c r="BI15" s="611">
        <f t="shared" si="20"/>
        <v>2</v>
      </c>
      <c r="BJ15" s="194"/>
      <c r="BK15" s="195"/>
      <c r="BL15" s="180"/>
      <c r="BM15" s="601">
        <f t="shared" si="6"/>
        <v>0</v>
      </c>
      <c r="BN15" s="607"/>
      <c r="BO15" s="601">
        <f t="shared" si="21"/>
        <v>0</v>
      </c>
      <c r="BQ15" s="611">
        <f t="shared" si="22"/>
        <v>2</v>
      </c>
      <c r="BR15" s="194"/>
      <c r="BS15" s="195"/>
      <c r="BT15" s="180"/>
      <c r="BU15" s="601">
        <f t="shared" si="7"/>
        <v>0</v>
      </c>
      <c r="BV15" s="607"/>
      <c r="BW15" s="601">
        <f t="shared" si="23"/>
        <v>0</v>
      </c>
    </row>
    <row r="16" spans="1:75" ht="22.5">
      <c r="A16" s="147">
        <v>4</v>
      </c>
      <c r="B16" s="599" t="str">
        <f>Efetivo!B16</f>
        <v>Vigilante Patrulha 06 Sistema 15 x 33 NOTURNO</v>
      </c>
      <c r="C16" s="600"/>
      <c r="D16" s="601">
        <f>Efetivo!T16</f>
        <v>0</v>
      </c>
      <c r="E16" s="600"/>
      <c r="F16" s="602">
        <f>Efetivo!E16+Efetivo!CC16</f>
        <v>2</v>
      </c>
      <c r="G16" s="179"/>
      <c r="H16" s="189">
        <f t="shared" ref="H16:H24" si="24">H15</f>
        <v>2</v>
      </c>
      <c r="I16" s="190"/>
      <c r="J16" s="191"/>
      <c r="K16" s="180"/>
      <c r="L16" s="602">
        <f>Efetivo!BZ16</f>
        <v>15</v>
      </c>
      <c r="M16" s="607"/>
      <c r="N16" s="601">
        <f t="shared" si="8"/>
        <v>0</v>
      </c>
      <c r="O16" s="608"/>
      <c r="P16" s="601">
        <f t="shared" si="9"/>
        <v>0</v>
      </c>
      <c r="Q16" s="908">
        <f t="shared" si="10"/>
        <v>0</v>
      </c>
      <c r="R16" s="601">
        <f t="shared" si="11"/>
        <v>0</v>
      </c>
      <c r="S16" s="607"/>
      <c r="T16" s="602">
        <f t="shared" si="0"/>
        <v>15</v>
      </c>
      <c r="U16" s="181"/>
      <c r="V16" s="190"/>
      <c r="W16" s="192"/>
      <c r="X16" s="180"/>
      <c r="Y16" s="601">
        <f t="shared" si="12"/>
        <v>0</v>
      </c>
      <c r="Z16" s="607"/>
      <c r="AA16" s="601">
        <f t="shared" si="1"/>
        <v>0</v>
      </c>
      <c r="AC16" s="611">
        <f>F16+Efetivo!CJ16</f>
        <v>2</v>
      </c>
      <c r="AD16" s="194"/>
      <c r="AE16" s="195"/>
      <c r="AF16" s="180"/>
      <c r="AG16" s="601">
        <f t="shared" si="2"/>
        <v>0</v>
      </c>
      <c r="AH16" s="607"/>
      <c r="AI16" s="601">
        <f t="shared" si="13"/>
        <v>0</v>
      </c>
      <c r="AK16" s="611">
        <f t="shared" si="14"/>
        <v>2</v>
      </c>
      <c r="AL16" s="194"/>
      <c r="AM16" s="195"/>
      <c r="AN16" s="180"/>
      <c r="AO16" s="601">
        <f t="shared" si="3"/>
        <v>0</v>
      </c>
      <c r="AP16" s="607"/>
      <c r="AQ16" s="601">
        <f t="shared" si="15"/>
        <v>0</v>
      </c>
      <c r="AS16" s="611">
        <f t="shared" si="16"/>
        <v>2</v>
      </c>
      <c r="AT16" s="194"/>
      <c r="AU16" s="195"/>
      <c r="AV16" s="180"/>
      <c r="AW16" s="601">
        <f t="shared" si="4"/>
        <v>0</v>
      </c>
      <c r="AX16" s="607"/>
      <c r="AY16" s="601">
        <f t="shared" si="17"/>
        <v>0</v>
      </c>
      <c r="BA16" s="611">
        <f t="shared" si="18"/>
        <v>2</v>
      </c>
      <c r="BB16" s="194"/>
      <c r="BC16" s="195"/>
      <c r="BD16" s="608"/>
      <c r="BE16" s="601">
        <f t="shared" si="5"/>
        <v>0</v>
      </c>
      <c r="BG16" s="601">
        <f t="shared" si="19"/>
        <v>0</v>
      </c>
      <c r="BI16" s="611">
        <f t="shared" si="20"/>
        <v>2</v>
      </c>
      <c r="BJ16" s="194"/>
      <c r="BK16" s="195"/>
      <c r="BL16" s="180"/>
      <c r="BM16" s="601">
        <f t="shared" si="6"/>
        <v>0</v>
      </c>
      <c r="BN16" s="607"/>
      <c r="BO16" s="601">
        <f t="shared" si="21"/>
        <v>0</v>
      </c>
      <c r="BQ16" s="611">
        <f t="shared" si="22"/>
        <v>2</v>
      </c>
      <c r="BR16" s="194"/>
      <c r="BS16" s="195"/>
      <c r="BT16" s="180"/>
      <c r="BU16" s="601">
        <f t="shared" si="7"/>
        <v>0</v>
      </c>
      <c r="BV16" s="607"/>
      <c r="BW16" s="601">
        <f t="shared" si="23"/>
        <v>0</v>
      </c>
    </row>
    <row r="17" spans="1:75">
      <c r="A17" s="147">
        <v>5</v>
      </c>
      <c r="B17" s="599" t="str">
        <f>Efetivo!B17</f>
        <v>Vigilante Patrulha 08 Eixo Viário Fixo DIURNO</v>
      </c>
      <c r="C17" s="600"/>
      <c r="D17" s="601">
        <f>Efetivo!T17</f>
        <v>0</v>
      </c>
      <c r="E17" s="600"/>
      <c r="F17" s="602">
        <f>Efetivo!E17+Efetivo!CC17</f>
        <v>2</v>
      </c>
      <c r="G17" s="179"/>
      <c r="H17" s="189">
        <f t="shared" si="24"/>
        <v>2</v>
      </c>
      <c r="I17" s="190"/>
      <c r="J17" s="191"/>
      <c r="K17" s="180"/>
      <c r="L17" s="602">
        <f>Efetivo!BZ17</f>
        <v>15</v>
      </c>
      <c r="M17" s="607"/>
      <c r="N17" s="601">
        <f t="shared" si="8"/>
        <v>0</v>
      </c>
      <c r="O17" s="608"/>
      <c r="P17" s="601">
        <f t="shared" si="9"/>
        <v>0</v>
      </c>
      <c r="Q17" s="908">
        <f t="shared" si="10"/>
        <v>0</v>
      </c>
      <c r="R17" s="601">
        <f t="shared" si="11"/>
        <v>0</v>
      </c>
      <c r="S17" s="607"/>
      <c r="T17" s="602">
        <f t="shared" si="0"/>
        <v>15</v>
      </c>
      <c r="U17" s="181"/>
      <c r="V17" s="190"/>
      <c r="W17" s="192"/>
      <c r="X17" s="180"/>
      <c r="Y17" s="601">
        <f t="shared" si="12"/>
        <v>0</v>
      </c>
      <c r="Z17" s="607"/>
      <c r="AA17" s="601">
        <f t="shared" si="1"/>
        <v>0</v>
      </c>
      <c r="AC17" s="611">
        <f>F17+Efetivo!CJ17</f>
        <v>2</v>
      </c>
      <c r="AD17" s="194"/>
      <c r="AE17" s="195"/>
      <c r="AF17" s="180"/>
      <c r="AG17" s="601">
        <f t="shared" si="2"/>
        <v>0</v>
      </c>
      <c r="AH17" s="607"/>
      <c r="AI17" s="601">
        <f t="shared" si="13"/>
        <v>0</v>
      </c>
      <c r="AK17" s="611">
        <f t="shared" si="14"/>
        <v>2</v>
      </c>
      <c r="AL17" s="194"/>
      <c r="AM17" s="195"/>
      <c r="AN17" s="180"/>
      <c r="AO17" s="601">
        <f t="shared" si="3"/>
        <v>0</v>
      </c>
      <c r="AP17" s="607"/>
      <c r="AQ17" s="601">
        <f t="shared" si="15"/>
        <v>0</v>
      </c>
      <c r="AS17" s="611">
        <f t="shared" si="16"/>
        <v>2</v>
      </c>
      <c r="AT17" s="194"/>
      <c r="AU17" s="195"/>
      <c r="AV17" s="180"/>
      <c r="AW17" s="601">
        <f t="shared" si="4"/>
        <v>0</v>
      </c>
      <c r="AX17" s="607"/>
      <c r="AY17" s="601">
        <f t="shared" si="17"/>
        <v>0</v>
      </c>
      <c r="BA17" s="611">
        <f t="shared" si="18"/>
        <v>2</v>
      </c>
      <c r="BB17" s="194"/>
      <c r="BC17" s="195"/>
      <c r="BD17" s="608"/>
      <c r="BE17" s="601">
        <f t="shared" si="5"/>
        <v>0</v>
      </c>
      <c r="BG17" s="601">
        <f t="shared" si="19"/>
        <v>0</v>
      </c>
      <c r="BI17" s="611">
        <f t="shared" si="20"/>
        <v>2</v>
      </c>
      <c r="BJ17" s="194"/>
      <c r="BK17" s="195"/>
      <c r="BL17" s="180"/>
      <c r="BM17" s="601">
        <f t="shared" si="6"/>
        <v>0</v>
      </c>
      <c r="BN17" s="607"/>
      <c r="BO17" s="601">
        <f t="shared" si="21"/>
        <v>0</v>
      </c>
      <c r="BQ17" s="611">
        <f t="shared" si="22"/>
        <v>2</v>
      </c>
      <c r="BR17" s="194"/>
      <c r="BS17" s="195"/>
      <c r="BT17" s="180"/>
      <c r="BU17" s="601">
        <f t="shared" si="7"/>
        <v>0</v>
      </c>
      <c r="BV17" s="607"/>
      <c r="BW17" s="601">
        <f t="shared" si="23"/>
        <v>0</v>
      </c>
    </row>
    <row r="18" spans="1:75" ht="22.5">
      <c r="A18" s="147">
        <v>6</v>
      </c>
      <c r="B18" s="599" t="str">
        <f>Efetivo!B18</f>
        <v>Vigilante Patrulha 08 Eixo Viário Fixo NOTURNO</v>
      </c>
      <c r="C18" s="600"/>
      <c r="D18" s="601">
        <f>Efetivo!T18</f>
        <v>0</v>
      </c>
      <c r="E18" s="600"/>
      <c r="F18" s="602">
        <f>Efetivo!E18+Efetivo!CC18</f>
        <v>2</v>
      </c>
      <c r="G18" s="179"/>
      <c r="H18" s="189">
        <f t="shared" si="24"/>
        <v>2</v>
      </c>
      <c r="I18" s="190"/>
      <c r="J18" s="191"/>
      <c r="K18" s="180"/>
      <c r="L18" s="602">
        <f>Efetivo!BZ18</f>
        <v>15</v>
      </c>
      <c r="M18" s="607"/>
      <c r="N18" s="601">
        <f t="shared" si="8"/>
        <v>0</v>
      </c>
      <c r="O18" s="608"/>
      <c r="P18" s="601">
        <f t="shared" si="9"/>
        <v>0</v>
      </c>
      <c r="Q18" s="908">
        <f t="shared" si="10"/>
        <v>0</v>
      </c>
      <c r="R18" s="601">
        <f t="shared" si="11"/>
        <v>0</v>
      </c>
      <c r="S18" s="607"/>
      <c r="T18" s="602">
        <f t="shared" si="0"/>
        <v>15</v>
      </c>
      <c r="U18" s="181"/>
      <c r="V18" s="190"/>
      <c r="W18" s="192"/>
      <c r="X18" s="180"/>
      <c r="Y18" s="601">
        <f t="shared" si="12"/>
        <v>0</v>
      </c>
      <c r="Z18" s="607"/>
      <c r="AA18" s="601">
        <f t="shared" si="1"/>
        <v>0</v>
      </c>
      <c r="AC18" s="611">
        <f>F18+Efetivo!CJ18</f>
        <v>2</v>
      </c>
      <c r="AD18" s="194"/>
      <c r="AE18" s="195"/>
      <c r="AF18" s="180"/>
      <c r="AG18" s="601">
        <f t="shared" si="2"/>
        <v>0</v>
      </c>
      <c r="AH18" s="607"/>
      <c r="AI18" s="601">
        <f t="shared" si="13"/>
        <v>0</v>
      </c>
      <c r="AK18" s="611">
        <f t="shared" si="14"/>
        <v>2</v>
      </c>
      <c r="AL18" s="194"/>
      <c r="AM18" s="195"/>
      <c r="AN18" s="180"/>
      <c r="AO18" s="601">
        <f t="shared" si="3"/>
        <v>0</v>
      </c>
      <c r="AP18" s="607"/>
      <c r="AQ18" s="601">
        <f t="shared" si="15"/>
        <v>0</v>
      </c>
      <c r="AS18" s="611">
        <f t="shared" si="16"/>
        <v>2</v>
      </c>
      <c r="AT18" s="194"/>
      <c r="AU18" s="195"/>
      <c r="AV18" s="180"/>
      <c r="AW18" s="601">
        <f t="shared" si="4"/>
        <v>0</v>
      </c>
      <c r="AX18" s="607"/>
      <c r="AY18" s="601">
        <f t="shared" si="17"/>
        <v>0</v>
      </c>
      <c r="BA18" s="611">
        <f t="shared" si="18"/>
        <v>2</v>
      </c>
      <c r="BB18" s="194"/>
      <c r="BC18" s="195"/>
      <c r="BD18" s="608"/>
      <c r="BE18" s="601">
        <f t="shared" si="5"/>
        <v>0</v>
      </c>
      <c r="BG18" s="601">
        <f t="shared" si="19"/>
        <v>0</v>
      </c>
      <c r="BI18" s="611">
        <f t="shared" si="20"/>
        <v>2</v>
      </c>
      <c r="BJ18" s="194"/>
      <c r="BK18" s="195"/>
      <c r="BL18" s="180"/>
      <c r="BM18" s="601">
        <f t="shared" si="6"/>
        <v>0</v>
      </c>
      <c r="BN18" s="607"/>
      <c r="BO18" s="601">
        <f t="shared" si="21"/>
        <v>0</v>
      </c>
      <c r="BQ18" s="611">
        <f t="shared" si="22"/>
        <v>2</v>
      </c>
      <c r="BR18" s="194"/>
      <c r="BS18" s="195"/>
      <c r="BT18" s="180"/>
      <c r="BU18" s="601">
        <f t="shared" si="7"/>
        <v>0</v>
      </c>
      <c r="BV18" s="607"/>
      <c r="BW18" s="601">
        <f t="shared" si="23"/>
        <v>0</v>
      </c>
    </row>
    <row r="19" spans="1:75">
      <c r="A19" s="147">
        <v>7</v>
      </c>
      <c r="B19" s="599" t="str">
        <f>Efetivo!B19</f>
        <v>Vigilante Patrulha 10 Sistema 10 x 28 DIURNO</v>
      </c>
      <c r="C19" s="600"/>
      <c r="D19" s="601">
        <f>Efetivo!T19</f>
        <v>0</v>
      </c>
      <c r="E19" s="600"/>
      <c r="F19" s="602">
        <f>Efetivo!E19+Efetivo!CC19</f>
        <v>2</v>
      </c>
      <c r="G19" s="179"/>
      <c r="H19" s="189">
        <f t="shared" si="24"/>
        <v>2</v>
      </c>
      <c r="I19" s="190"/>
      <c r="J19" s="191"/>
      <c r="K19" s="180"/>
      <c r="L19" s="602">
        <f>Efetivo!BZ19</f>
        <v>15</v>
      </c>
      <c r="M19" s="607"/>
      <c r="N19" s="601">
        <f t="shared" si="8"/>
        <v>0</v>
      </c>
      <c r="O19" s="608"/>
      <c r="P19" s="601">
        <f t="shared" si="9"/>
        <v>0</v>
      </c>
      <c r="Q19" s="908">
        <f t="shared" si="10"/>
        <v>0</v>
      </c>
      <c r="R19" s="601">
        <f t="shared" si="11"/>
        <v>0</v>
      </c>
      <c r="S19" s="607"/>
      <c r="T19" s="602">
        <f t="shared" si="0"/>
        <v>15</v>
      </c>
      <c r="U19" s="181"/>
      <c r="V19" s="190"/>
      <c r="W19" s="192"/>
      <c r="X19" s="180"/>
      <c r="Y19" s="601">
        <f t="shared" si="12"/>
        <v>0</v>
      </c>
      <c r="Z19" s="607"/>
      <c r="AA19" s="601">
        <f t="shared" si="1"/>
        <v>0</v>
      </c>
      <c r="AC19" s="611">
        <f>F19+Efetivo!CJ19</f>
        <v>2</v>
      </c>
      <c r="AD19" s="194"/>
      <c r="AE19" s="195"/>
      <c r="AF19" s="180"/>
      <c r="AG19" s="601">
        <f t="shared" si="2"/>
        <v>0</v>
      </c>
      <c r="AH19" s="607"/>
      <c r="AI19" s="601">
        <f t="shared" si="13"/>
        <v>0</v>
      </c>
      <c r="AK19" s="611">
        <f t="shared" si="14"/>
        <v>2</v>
      </c>
      <c r="AL19" s="194"/>
      <c r="AM19" s="195"/>
      <c r="AN19" s="180"/>
      <c r="AO19" s="601">
        <f t="shared" si="3"/>
        <v>0</v>
      </c>
      <c r="AP19" s="607"/>
      <c r="AQ19" s="601">
        <f t="shared" si="15"/>
        <v>0</v>
      </c>
      <c r="AS19" s="611">
        <f t="shared" si="16"/>
        <v>2</v>
      </c>
      <c r="AT19" s="194"/>
      <c r="AU19" s="195"/>
      <c r="AV19" s="180"/>
      <c r="AW19" s="601">
        <f t="shared" si="4"/>
        <v>0</v>
      </c>
      <c r="AX19" s="607"/>
      <c r="AY19" s="601">
        <f t="shared" si="17"/>
        <v>0</v>
      </c>
      <c r="BA19" s="611">
        <f t="shared" si="18"/>
        <v>2</v>
      </c>
      <c r="BB19" s="194"/>
      <c r="BC19" s="195"/>
      <c r="BD19" s="608"/>
      <c r="BE19" s="601">
        <f t="shared" si="5"/>
        <v>0</v>
      </c>
      <c r="BG19" s="601">
        <f t="shared" si="19"/>
        <v>0</v>
      </c>
      <c r="BI19" s="611">
        <f t="shared" si="20"/>
        <v>2</v>
      </c>
      <c r="BJ19" s="194"/>
      <c r="BK19" s="195"/>
      <c r="BL19" s="180"/>
      <c r="BM19" s="601">
        <f t="shared" si="6"/>
        <v>0</v>
      </c>
      <c r="BN19" s="607"/>
      <c r="BO19" s="601">
        <f t="shared" si="21"/>
        <v>0</v>
      </c>
      <c r="BQ19" s="611">
        <f t="shared" si="22"/>
        <v>2</v>
      </c>
      <c r="BR19" s="194"/>
      <c r="BS19" s="195"/>
      <c r="BT19" s="180"/>
      <c r="BU19" s="601">
        <f t="shared" si="7"/>
        <v>0</v>
      </c>
      <c r="BV19" s="607"/>
      <c r="BW19" s="601">
        <f t="shared" si="23"/>
        <v>0</v>
      </c>
    </row>
    <row r="20" spans="1:75" ht="22.5">
      <c r="A20" s="147">
        <v>8</v>
      </c>
      <c r="B20" s="599" t="str">
        <f>Efetivo!B20</f>
        <v>Vigilante Patrulha 10 Sistema 10 x 28 NOTURNO</v>
      </c>
      <c r="C20" s="600"/>
      <c r="D20" s="601">
        <f>Efetivo!T20</f>
        <v>0</v>
      </c>
      <c r="E20" s="600"/>
      <c r="F20" s="602">
        <f>Efetivo!E20+Efetivo!CC20</f>
        <v>2</v>
      </c>
      <c r="G20" s="179"/>
      <c r="H20" s="189">
        <f t="shared" si="24"/>
        <v>2</v>
      </c>
      <c r="I20" s="190"/>
      <c r="J20" s="191"/>
      <c r="K20" s="180"/>
      <c r="L20" s="602">
        <f>Efetivo!BZ20</f>
        <v>15</v>
      </c>
      <c r="M20" s="607"/>
      <c r="N20" s="601">
        <f t="shared" si="8"/>
        <v>0</v>
      </c>
      <c r="O20" s="608"/>
      <c r="P20" s="601">
        <f t="shared" si="9"/>
        <v>0</v>
      </c>
      <c r="Q20" s="908">
        <f t="shared" si="10"/>
        <v>0</v>
      </c>
      <c r="R20" s="601">
        <f t="shared" si="11"/>
        <v>0</v>
      </c>
      <c r="S20" s="607"/>
      <c r="T20" s="602">
        <f t="shared" si="0"/>
        <v>15</v>
      </c>
      <c r="U20" s="181"/>
      <c r="V20" s="190"/>
      <c r="W20" s="192"/>
      <c r="X20" s="180"/>
      <c r="Y20" s="601">
        <f t="shared" si="12"/>
        <v>0</v>
      </c>
      <c r="Z20" s="607"/>
      <c r="AA20" s="601">
        <f t="shared" si="1"/>
        <v>0</v>
      </c>
      <c r="AC20" s="611">
        <f>F20+Efetivo!CJ20</f>
        <v>2</v>
      </c>
      <c r="AD20" s="194"/>
      <c r="AE20" s="195"/>
      <c r="AF20" s="180"/>
      <c r="AG20" s="601">
        <f t="shared" si="2"/>
        <v>0</v>
      </c>
      <c r="AH20" s="607"/>
      <c r="AI20" s="601">
        <f t="shared" si="13"/>
        <v>0</v>
      </c>
      <c r="AK20" s="611">
        <f t="shared" si="14"/>
        <v>2</v>
      </c>
      <c r="AL20" s="194"/>
      <c r="AM20" s="195"/>
      <c r="AN20" s="180"/>
      <c r="AO20" s="601">
        <f t="shared" si="3"/>
        <v>0</v>
      </c>
      <c r="AP20" s="607"/>
      <c r="AQ20" s="601">
        <f t="shared" si="15"/>
        <v>0</v>
      </c>
      <c r="AS20" s="611">
        <f t="shared" si="16"/>
        <v>2</v>
      </c>
      <c r="AT20" s="194"/>
      <c r="AU20" s="195"/>
      <c r="AV20" s="180"/>
      <c r="AW20" s="601">
        <f t="shared" si="4"/>
        <v>0</v>
      </c>
      <c r="AX20" s="607"/>
      <c r="AY20" s="601">
        <f t="shared" si="17"/>
        <v>0</v>
      </c>
      <c r="BA20" s="611">
        <f t="shared" si="18"/>
        <v>2</v>
      </c>
      <c r="BB20" s="194"/>
      <c r="BC20" s="195"/>
      <c r="BD20" s="608"/>
      <c r="BE20" s="601">
        <f t="shared" si="5"/>
        <v>0</v>
      </c>
      <c r="BG20" s="601">
        <f t="shared" si="19"/>
        <v>0</v>
      </c>
      <c r="BI20" s="611">
        <f t="shared" si="20"/>
        <v>2</v>
      </c>
      <c r="BJ20" s="194"/>
      <c r="BK20" s="195"/>
      <c r="BL20" s="180"/>
      <c r="BM20" s="601">
        <f t="shared" si="6"/>
        <v>0</v>
      </c>
      <c r="BN20" s="607"/>
      <c r="BO20" s="601">
        <f t="shared" si="21"/>
        <v>0</v>
      </c>
      <c r="BQ20" s="611">
        <f t="shared" si="22"/>
        <v>2</v>
      </c>
      <c r="BR20" s="194"/>
      <c r="BS20" s="195"/>
      <c r="BT20" s="180"/>
      <c r="BU20" s="601">
        <f t="shared" si="7"/>
        <v>0</v>
      </c>
      <c r="BV20" s="607"/>
      <c r="BW20" s="601">
        <f t="shared" si="23"/>
        <v>0</v>
      </c>
    </row>
    <row r="21" spans="1:75">
      <c r="A21" s="147">
        <v>9</v>
      </c>
      <c r="B21" s="599" t="str">
        <f>Efetivo!B21</f>
        <v>Vigilante Patrulha 11 Supervisão DIURNO</v>
      </c>
      <c r="C21" s="600"/>
      <c r="D21" s="601">
        <f>Efetivo!T21</f>
        <v>0</v>
      </c>
      <c r="E21" s="600"/>
      <c r="F21" s="602">
        <f>Efetivo!E21+Efetivo!CC21</f>
        <v>1</v>
      </c>
      <c r="G21" s="179"/>
      <c r="H21" s="189">
        <f t="shared" si="24"/>
        <v>2</v>
      </c>
      <c r="I21" s="190"/>
      <c r="J21" s="191"/>
      <c r="K21" s="180"/>
      <c r="L21" s="602">
        <f>Efetivo!BZ21</f>
        <v>15</v>
      </c>
      <c r="M21" s="607"/>
      <c r="N21" s="601">
        <f t="shared" si="8"/>
        <v>0</v>
      </c>
      <c r="O21" s="608"/>
      <c r="P21" s="601">
        <f t="shared" si="9"/>
        <v>0</v>
      </c>
      <c r="Q21" s="908">
        <f t="shared" si="10"/>
        <v>0</v>
      </c>
      <c r="R21" s="601">
        <f t="shared" si="11"/>
        <v>0</v>
      </c>
      <c r="S21" s="607"/>
      <c r="T21" s="602">
        <f t="shared" si="0"/>
        <v>15</v>
      </c>
      <c r="U21" s="181"/>
      <c r="V21" s="190"/>
      <c r="W21" s="192"/>
      <c r="X21" s="180"/>
      <c r="Y21" s="601">
        <f t="shared" si="12"/>
        <v>0</v>
      </c>
      <c r="Z21" s="607"/>
      <c r="AA21" s="601">
        <f t="shared" si="1"/>
        <v>0</v>
      </c>
      <c r="AC21" s="611">
        <f>F21+Efetivo!CJ21</f>
        <v>1</v>
      </c>
      <c r="AD21" s="194"/>
      <c r="AE21" s="195"/>
      <c r="AF21" s="180"/>
      <c r="AG21" s="601">
        <f t="shared" si="2"/>
        <v>0</v>
      </c>
      <c r="AH21" s="607"/>
      <c r="AI21" s="601">
        <f t="shared" si="13"/>
        <v>0</v>
      </c>
      <c r="AK21" s="611">
        <f t="shared" si="14"/>
        <v>1</v>
      </c>
      <c r="AL21" s="194"/>
      <c r="AM21" s="195"/>
      <c r="AN21" s="180"/>
      <c r="AO21" s="601">
        <f t="shared" si="3"/>
        <v>0</v>
      </c>
      <c r="AP21" s="607"/>
      <c r="AQ21" s="601">
        <f t="shared" si="15"/>
        <v>0</v>
      </c>
      <c r="AS21" s="611">
        <f t="shared" si="16"/>
        <v>1</v>
      </c>
      <c r="AT21" s="194"/>
      <c r="AU21" s="195"/>
      <c r="AV21" s="180"/>
      <c r="AW21" s="601">
        <f t="shared" si="4"/>
        <v>0</v>
      </c>
      <c r="AX21" s="607"/>
      <c r="AY21" s="601">
        <f t="shared" si="17"/>
        <v>0</v>
      </c>
      <c r="BA21" s="611">
        <f t="shared" si="18"/>
        <v>1</v>
      </c>
      <c r="BB21" s="194"/>
      <c r="BC21" s="195"/>
      <c r="BD21" s="608"/>
      <c r="BE21" s="601">
        <f t="shared" si="5"/>
        <v>0</v>
      </c>
      <c r="BG21" s="601">
        <f t="shared" si="19"/>
        <v>0</v>
      </c>
      <c r="BI21" s="611">
        <f t="shared" si="20"/>
        <v>1</v>
      </c>
      <c r="BJ21" s="194"/>
      <c r="BK21" s="195"/>
      <c r="BL21" s="180"/>
      <c r="BM21" s="601">
        <f t="shared" si="6"/>
        <v>0</v>
      </c>
      <c r="BN21" s="607"/>
      <c r="BO21" s="601">
        <f t="shared" si="21"/>
        <v>0</v>
      </c>
      <c r="BQ21" s="611">
        <f t="shared" si="22"/>
        <v>1</v>
      </c>
      <c r="BR21" s="194"/>
      <c r="BS21" s="195"/>
      <c r="BT21" s="180"/>
      <c r="BU21" s="601">
        <f t="shared" si="7"/>
        <v>0</v>
      </c>
      <c r="BV21" s="607"/>
      <c r="BW21" s="601">
        <f t="shared" si="23"/>
        <v>0</v>
      </c>
    </row>
    <row r="22" spans="1:75">
      <c r="A22" s="147">
        <v>10</v>
      </c>
      <c r="B22" s="599" t="str">
        <f>Efetivo!B22</f>
        <v>Vigilante Patrulha 11 Supervisão NOTURNO</v>
      </c>
      <c r="C22" s="600"/>
      <c r="D22" s="601">
        <f>Efetivo!T22</f>
        <v>0</v>
      </c>
      <c r="E22" s="600"/>
      <c r="F22" s="602">
        <f>Efetivo!E22+Efetivo!CC22</f>
        <v>1</v>
      </c>
      <c r="G22" s="179"/>
      <c r="H22" s="189">
        <f t="shared" si="24"/>
        <v>2</v>
      </c>
      <c r="I22" s="190"/>
      <c r="J22" s="191"/>
      <c r="K22" s="180"/>
      <c r="L22" s="602">
        <f>Efetivo!BZ22</f>
        <v>15</v>
      </c>
      <c r="M22" s="607"/>
      <c r="N22" s="601">
        <f t="shared" si="8"/>
        <v>0</v>
      </c>
      <c r="O22" s="608"/>
      <c r="P22" s="601">
        <f t="shared" si="9"/>
        <v>0</v>
      </c>
      <c r="Q22" s="908">
        <f t="shared" si="10"/>
        <v>0</v>
      </c>
      <c r="R22" s="601">
        <f t="shared" si="11"/>
        <v>0</v>
      </c>
      <c r="S22" s="607"/>
      <c r="T22" s="602">
        <f t="shared" si="0"/>
        <v>15</v>
      </c>
      <c r="U22" s="181"/>
      <c r="V22" s="190"/>
      <c r="W22" s="192"/>
      <c r="X22" s="180"/>
      <c r="Y22" s="601">
        <f t="shared" si="12"/>
        <v>0</v>
      </c>
      <c r="Z22" s="607"/>
      <c r="AA22" s="601">
        <f t="shared" si="1"/>
        <v>0</v>
      </c>
      <c r="AC22" s="611">
        <f>F22+Efetivo!CJ22</f>
        <v>1</v>
      </c>
      <c r="AD22" s="194"/>
      <c r="AE22" s="195"/>
      <c r="AF22" s="180"/>
      <c r="AG22" s="601">
        <f t="shared" si="2"/>
        <v>0</v>
      </c>
      <c r="AH22" s="607"/>
      <c r="AI22" s="601">
        <f t="shared" si="13"/>
        <v>0</v>
      </c>
      <c r="AK22" s="611">
        <f t="shared" si="14"/>
        <v>1</v>
      </c>
      <c r="AL22" s="194"/>
      <c r="AM22" s="195"/>
      <c r="AN22" s="180"/>
      <c r="AO22" s="601">
        <f t="shared" si="3"/>
        <v>0</v>
      </c>
      <c r="AP22" s="607"/>
      <c r="AQ22" s="601">
        <f t="shared" si="15"/>
        <v>0</v>
      </c>
      <c r="AS22" s="611">
        <f t="shared" si="16"/>
        <v>1</v>
      </c>
      <c r="AT22" s="194"/>
      <c r="AU22" s="195"/>
      <c r="AV22" s="180"/>
      <c r="AW22" s="601">
        <f t="shared" si="4"/>
        <v>0</v>
      </c>
      <c r="AX22" s="607"/>
      <c r="AY22" s="601">
        <f t="shared" si="17"/>
        <v>0</v>
      </c>
      <c r="BA22" s="611">
        <f t="shared" si="18"/>
        <v>1</v>
      </c>
      <c r="BB22" s="194"/>
      <c r="BC22" s="195"/>
      <c r="BD22" s="608"/>
      <c r="BE22" s="601">
        <f t="shared" si="5"/>
        <v>0</v>
      </c>
      <c r="BG22" s="601">
        <f t="shared" si="19"/>
        <v>0</v>
      </c>
      <c r="BI22" s="611">
        <f t="shared" si="20"/>
        <v>1</v>
      </c>
      <c r="BJ22" s="194"/>
      <c r="BK22" s="195"/>
      <c r="BL22" s="180"/>
      <c r="BM22" s="601">
        <f t="shared" si="6"/>
        <v>0</v>
      </c>
      <c r="BN22" s="607"/>
      <c r="BO22" s="601">
        <f t="shared" si="21"/>
        <v>0</v>
      </c>
      <c r="BQ22" s="611">
        <f t="shared" si="22"/>
        <v>1</v>
      </c>
      <c r="BR22" s="194"/>
      <c r="BS22" s="195"/>
      <c r="BT22" s="180"/>
      <c r="BU22" s="601">
        <f t="shared" si="7"/>
        <v>0</v>
      </c>
      <c r="BV22" s="607"/>
      <c r="BW22" s="601">
        <f t="shared" si="23"/>
        <v>0</v>
      </c>
    </row>
    <row r="23" spans="1:75">
      <c r="A23" s="147">
        <v>11</v>
      </c>
      <c r="B23" s="599" t="str">
        <f>Efetivo!B23</f>
        <v>Supervisor Patrulha 11 Supervisão DIURNO</v>
      </c>
      <c r="C23" s="600"/>
      <c r="D23" s="601">
        <f>Efetivo!T23</f>
        <v>0</v>
      </c>
      <c r="E23" s="600"/>
      <c r="F23" s="602">
        <f>Efetivo!E23+Efetivo!CC23</f>
        <v>1</v>
      </c>
      <c r="G23" s="179"/>
      <c r="H23" s="189">
        <f t="shared" si="24"/>
        <v>2</v>
      </c>
      <c r="I23" s="190"/>
      <c r="J23" s="191"/>
      <c r="K23" s="180"/>
      <c r="L23" s="602">
        <f>Efetivo!BZ23</f>
        <v>15</v>
      </c>
      <c r="M23" s="607"/>
      <c r="N23" s="601">
        <f t="shared" si="8"/>
        <v>0</v>
      </c>
      <c r="O23" s="608"/>
      <c r="P23" s="601">
        <f t="shared" si="9"/>
        <v>0</v>
      </c>
      <c r="Q23" s="908">
        <f t="shared" si="10"/>
        <v>0</v>
      </c>
      <c r="R23" s="601">
        <f t="shared" si="11"/>
        <v>0</v>
      </c>
      <c r="S23" s="607"/>
      <c r="T23" s="602">
        <f t="shared" si="0"/>
        <v>15</v>
      </c>
      <c r="U23" s="181"/>
      <c r="V23" s="190"/>
      <c r="W23" s="192"/>
      <c r="X23" s="180"/>
      <c r="Y23" s="601">
        <f t="shared" si="12"/>
        <v>0</v>
      </c>
      <c r="Z23" s="607"/>
      <c r="AA23" s="601">
        <f t="shared" si="1"/>
        <v>0</v>
      </c>
      <c r="AC23" s="611">
        <f>F23+Efetivo!CJ23</f>
        <v>1</v>
      </c>
      <c r="AD23" s="194"/>
      <c r="AE23" s="195"/>
      <c r="AF23" s="180"/>
      <c r="AG23" s="601">
        <f t="shared" si="2"/>
        <v>0</v>
      </c>
      <c r="AH23" s="607"/>
      <c r="AI23" s="601">
        <f t="shared" si="13"/>
        <v>0</v>
      </c>
      <c r="AK23" s="611">
        <f t="shared" si="14"/>
        <v>1</v>
      </c>
      <c r="AL23" s="194"/>
      <c r="AM23" s="195"/>
      <c r="AN23" s="180"/>
      <c r="AO23" s="601">
        <f t="shared" si="3"/>
        <v>0</v>
      </c>
      <c r="AP23" s="607"/>
      <c r="AQ23" s="601">
        <f t="shared" si="15"/>
        <v>0</v>
      </c>
      <c r="AS23" s="611">
        <f t="shared" si="16"/>
        <v>1</v>
      </c>
      <c r="AT23" s="194"/>
      <c r="AU23" s="195"/>
      <c r="AV23" s="180"/>
      <c r="AW23" s="601">
        <f t="shared" si="4"/>
        <v>0</v>
      </c>
      <c r="AX23" s="607"/>
      <c r="AY23" s="601">
        <f t="shared" si="17"/>
        <v>0</v>
      </c>
      <c r="BA23" s="611">
        <f t="shared" si="18"/>
        <v>1</v>
      </c>
      <c r="BB23" s="194"/>
      <c r="BC23" s="195"/>
      <c r="BD23" s="608"/>
      <c r="BE23" s="601">
        <f t="shared" si="5"/>
        <v>0</v>
      </c>
      <c r="BG23" s="601">
        <f t="shared" si="19"/>
        <v>0</v>
      </c>
      <c r="BI23" s="611">
        <f t="shared" si="20"/>
        <v>1</v>
      </c>
      <c r="BJ23" s="194"/>
      <c r="BK23" s="195"/>
      <c r="BL23" s="180"/>
      <c r="BM23" s="601">
        <f t="shared" si="6"/>
        <v>0</v>
      </c>
      <c r="BN23" s="607"/>
      <c r="BO23" s="601">
        <f t="shared" si="21"/>
        <v>0</v>
      </c>
      <c r="BQ23" s="611">
        <f t="shared" si="22"/>
        <v>1</v>
      </c>
      <c r="BR23" s="194"/>
      <c r="BS23" s="195"/>
      <c r="BT23" s="180"/>
      <c r="BU23" s="601">
        <f t="shared" si="7"/>
        <v>0</v>
      </c>
      <c r="BV23" s="607"/>
      <c r="BW23" s="601">
        <f t="shared" si="23"/>
        <v>0</v>
      </c>
    </row>
    <row r="24" spans="1:75">
      <c r="A24" s="147">
        <v>12</v>
      </c>
      <c r="B24" s="599" t="str">
        <f>Efetivo!B24</f>
        <v>Supervisor Patrulha 11 Supervisão NOTURNO</v>
      </c>
      <c r="C24" s="600"/>
      <c r="D24" s="601">
        <f>Efetivo!T24</f>
        <v>0</v>
      </c>
      <c r="E24" s="600"/>
      <c r="F24" s="602">
        <f>Efetivo!E24+Efetivo!CC24</f>
        <v>1</v>
      </c>
      <c r="G24" s="179"/>
      <c r="H24" s="189">
        <f t="shared" si="24"/>
        <v>2</v>
      </c>
      <c r="I24" s="190"/>
      <c r="J24" s="191"/>
      <c r="K24" s="180"/>
      <c r="L24" s="602">
        <f>Efetivo!BZ24</f>
        <v>15</v>
      </c>
      <c r="M24" s="607"/>
      <c r="N24" s="601">
        <f t="shared" si="8"/>
        <v>0</v>
      </c>
      <c r="O24" s="608"/>
      <c r="P24" s="601">
        <f t="shared" si="9"/>
        <v>0</v>
      </c>
      <c r="Q24" s="908">
        <f t="shared" si="10"/>
        <v>0</v>
      </c>
      <c r="R24" s="601">
        <f t="shared" si="11"/>
        <v>0</v>
      </c>
      <c r="S24" s="607"/>
      <c r="T24" s="602">
        <f t="shared" si="0"/>
        <v>15</v>
      </c>
      <c r="U24" s="181"/>
      <c r="V24" s="190"/>
      <c r="W24" s="192"/>
      <c r="X24" s="180"/>
      <c r="Y24" s="601">
        <f t="shared" si="12"/>
        <v>0</v>
      </c>
      <c r="Z24" s="607"/>
      <c r="AA24" s="601">
        <f t="shared" si="1"/>
        <v>0</v>
      </c>
      <c r="AC24" s="611">
        <f>F24+Efetivo!CJ24</f>
        <v>1</v>
      </c>
      <c r="AD24" s="194"/>
      <c r="AE24" s="195"/>
      <c r="AF24" s="180"/>
      <c r="AG24" s="601">
        <f t="shared" si="2"/>
        <v>0</v>
      </c>
      <c r="AH24" s="607"/>
      <c r="AI24" s="601">
        <f t="shared" si="13"/>
        <v>0</v>
      </c>
      <c r="AK24" s="611">
        <f t="shared" si="14"/>
        <v>1</v>
      </c>
      <c r="AL24" s="194"/>
      <c r="AM24" s="195"/>
      <c r="AN24" s="180"/>
      <c r="AO24" s="601">
        <f t="shared" si="3"/>
        <v>0</v>
      </c>
      <c r="AP24" s="607"/>
      <c r="AQ24" s="601">
        <f t="shared" si="15"/>
        <v>0</v>
      </c>
      <c r="AS24" s="611">
        <f t="shared" si="16"/>
        <v>1</v>
      </c>
      <c r="AT24" s="194"/>
      <c r="AU24" s="195"/>
      <c r="AV24" s="180"/>
      <c r="AW24" s="601">
        <f t="shared" si="4"/>
        <v>0</v>
      </c>
      <c r="AX24" s="607"/>
      <c r="AY24" s="601">
        <f t="shared" si="17"/>
        <v>0</v>
      </c>
      <c r="BA24" s="611">
        <f t="shared" si="18"/>
        <v>1</v>
      </c>
      <c r="BB24" s="194"/>
      <c r="BC24" s="195"/>
      <c r="BD24" s="608"/>
      <c r="BE24" s="601">
        <f t="shared" si="5"/>
        <v>0</v>
      </c>
      <c r="BG24" s="601">
        <f t="shared" si="19"/>
        <v>0</v>
      </c>
      <c r="BI24" s="611">
        <f t="shared" si="20"/>
        <v>1</v>
      </c>
      <c r="BJ24" s="194"/>
      <c r="BK24" s="195"/>
      <c r="BL24" s="180"/>
      <c r="BM24" s="601">
        <f t="shared" si="6"/>
        <v>0</v>
      </c>
      <c r="BN24" s="607"/>
      <c r="BO24" s="601">
        <f t="shared" si="21"/>
        <v>0</v>
      </c>
      <c r="BQ24" s="611">
        <f t="shared" si="22"/>
        <v>1</v>
      </c>
      <c r="BR24" s="194"/>
      <c r="BS24" s="195"/>
      <c r="BT24" s="180"/>
      <c r="BU24" s="601">
        <f t="shared" si="7"/>
        <v>0</v>
      </c>
      <c r="BV24" s="607"/>
      <c r="BW24" s="601">
        <f t="shared" si="23"/>
        <v>0</v>
      </c>
    </row>
    <row r="25" spans="1:75">
      <c r="A25" s="147">
        <v>13</v>
      </c>
      <c r="B25" s="599">
        <f>Efetivo!B25</f>
        <v>0</v>
      </c>
      <c r="C25" s="600"/>
      <c r="D25" s="601">
        <f>Efetivo!T25</f>
        <v>0</v>
      </c>
      <c r="E25" s="600"/>
      <c r="F25" s="602">
        <f>Efetivo!E25+Efetivo!CC25</f>
        <v>0</v>
      </c>
      <c r="G25" s="179"/>
      <c r="H25" s="189"/>
      <c r="I25" s="190"/>
      <c r="J25" s="191"/>
      <c r="K25" s="180"/>
      <c r="L25" s="602">
        <f>Efetivo!BZ25</f>
        <v>0</v>
      </c>
      <c r="M25" s="607"/>
      <c r="N25" s="601">
        <f t="shared" si="8"/>
        <v>0</v>
      </c>
      <c r="O25" s="608"/>
      <c r="P25" s="601">
        <f t="shared" si="9"/>
        <v>0</v>
      </c>
      <c r="Q25" s="908">
        <f t="shared" si="10"/>
        <v>0</v>
      </c>
      <c r="R25" s="601">
        <f t="shared" si="11"/>
        <v>0</v>
      </c>
      <c r="S25" s="607"/>
      <c r="T25" s="602">
        <f t="shared" si="0"/>
        <v>0</v>
      </c>
      <c r="U25" s="181"/>
      <c r="V25" s="190"/>
      <c r="W25" s="192"/>
      <c r="X25" s="180"/>
      <c r="Y25" s="601">
        <f t="shared" si="12"/>
        <v>0</v>
      </c>
      <c r="Z25" s="607"/>
      <c r="AA25" s="601">
        <f t="shared" si="1"/>
        <v>0</v>
      </c>
      <c r="AC25" s="611">
        <f>F25+Efetivo!CJ25</f>
        <v>0</v>
      </c>
      <c r="AD25" s="194"/>
      <c r="AE25" s="195"/>
      <c r="AF25" s="180"/>
      <c r="AG25" s="601">
        <f t="shared" si="2"/>
        <v>0</v>
      </c>
      <c r="AH25" s="607"/>
      <c r="AI25" s="601">
        <f t="shared" si="13"/>
        <v>0</v>
      </c>
      <c r="AK25" s="611">
        <f t="shared" si="14"/>
        <v>0</v>
      </c>
      <c r="AL25" s="194"/>
      <c r="AM25" s="195"/>
      <c r="AN25" s="180"/>
      <c r="AO25" s="601">
        <f t="shared" si="3"/>
        <v>0</v>
      </c>
      <c r="AP25" s="607"/>
      <c r="AQ25" s="601">
        <f t="shared" si="15"/>
        <v>0</v>
      </c>
      <c r="AS25" s="611">
        <f t="shared" si="16"/>
        <v>0</v>
      </c>
      <c r="AT25" s="194"/>
      <c r="AU25" s="195"/>
      <c r="AV25" s="180"/>
      <c r="AW25" s="601">
        <f t="shared" si="4"/>
        <v>0</v>
      </c>
      <c r="AX25" s="607"/>
      <c r="AY25" s="601">
        <f t="shared" si="17"/>
        <v>0</v>
      </c>
      <c r="BA25" s="611">
        <f t="shared" si="18"/>
        <v>0</v>
      </c>
      <c r="BB25" s="194"/>
      <c r="BC25" s="195"/>
      <c r="BD25" s="608"/>
      <c r="BE25" s="601">
        <f t="shared" si="5"/>
        <v>0</v>
      </c>
      <c r="BG25" s="601">
        <f t="shared" si="19"/>
        <v>0</v>
      </c>
      <c r="BI25" s="611">
        <f t="shared" si="20"/>
        <v>0</v>
      </c>
      <c r="BJ25" s="194"/>
      <c r="BK25" s="195"/>
      <c r="BL25" s="180"/>
      <c r="BM25" s="601">
        <f t="shared" si="6"/>
        <v>0</v>
      </c>
      <c r="BN25" s="607"/>
      <c r="BO25" s="601">
        <f t="shared" si="21"/>
        <v>0</v>
      </c>
      <c r="BQ25" s="611">
        <f t="shared" si="22"/>
        <v>0</v>
      </c>
      <c r="BR25" s="194"/>
      <c r="BS25" s="195"/>
      <c r="BT25" s="180"/>
      <c r="BU25" s="601">
        <f t="shared" si="7"/>
        <v>0</v>
      </c>
      <c r="BV25" s="607"/>
      <c r="BW25" s="601">
        <f t="shared" si="23"/>
        <v>0</v>
      </c>
    </row>
    <row r="26" spans="1:75" hidden="1">
      <c r="A26" s="147">
        <v>14</v>
      </c>
      <c r="B26" s="599">
        <f>Efetivo!B26</f>
        <v>0</v>
      </c>
      <c r="C26" s="600"/>
      <c r="D26" s="601">
        <f>Efetivo!T26</f>
        <v>0</v>
      </c>
      <c r="E26" s="600"/>
      <c r="F26" s="602">
        <f>Efetivo!E26+Efetivo!CC26</f>
        <v>0</v>
      </c>
      <c r="G26" s="179"/>
      <c r="H26" s="189"/>
      <c r="I26" s="190"/>
      <c r="J26" s="191"/>
      <c r="K26" s="180"/>
      <c r="L26" s="602">
        <f>Efetivo!BZ26</f>
        <v>0</v>
      </c>
      <c r="M26" s="607"/>
      <c r="N26" s="601">
        <f t="shared" si="8"/>
        <v>0</v>
      </c>
      <c r="O26" s="608"/>
      <c r="P26" s="601">
        <f t="shared" si="9"/>
        <v>0</v>
      </c>
      <c r="Q26" s="908">
        <f t="shared" si="10"/>
        <v>0</v>
      </c>
      <c r="R26" s="601">
        <f t="shared" si="11"/>
        <v>0</v>
      </c>
      <c r="S26" s="607"/>
      <c r="T26" s="602">
        <f t="shared" si="0"/>
        <v>0</v>
      </c>
      <c r="U26" s="181"/>
      <c r="V26" s="190"/>
      <c r="W26" s="192"/>
      <c r="X26" s="180"/>
      <c r="Y26" s="601">
        <f t="shared" si="12"/>
        <v>0</v>
      </c>
      <c r="Z26" s="607"/>
      <c r="AA26" s="601">
        <f t="shared" si="1"/>
        <v>0</v>
      </c>
      <c r="AC26" s="611">
        <f>F26+Efetivo!CJ26</f>
        <v>0</v>
      </c>
      <c r="AD26" s="194"/>
      <c r="AE26" s="195"/>
      <c r="AF26" s="180"/>
      <c r="AG26" s="601">
        <f t="shared" si="2"/>
        <v>0</v>
      </c>
      <c r="AH26" s="607"/>
      <c r="AI26" s="601">
        <f t="shared" si="13"/>
        <v>0</v>
      </c>
      <c r="AK26" s="611">
        <f t="shared" si="14"/>
        <v>0</v>
      </c>
      <c r="AL26" s="194"/>
      <c r="AM26" s="195"/>
      <c r="AN26" s="180"/>
      <c r="AO26" s="601">
        <f t="shared" si="3"/>
        <v>0</v>
      </c>
      <c r="AP26" s="607"/>
      <c r="AQ26" s="601">
        <f t="shared" si="15"/>
        <v>0</v>
      </c>
      <c r="AS26" s="611">
        <f t="shared" si="16"/>
        <v>0</v>
      </c>
      <c r="AT26" s="194"/>
      <c r="AU26" s="195"/>
      <c r="AV26" s="180"/>
      <c r="AW26" s="601">
        <f t="shared" si="4"/>
        <v>0</v>
      </c>
      <c r="AX26" s="607"/>
      <c r="AY26" s="601">
        <f t="shared" si="17"/>
        <v>0</v>
      </c>
      <c r="BA26" s="611">
        <f t="shared" si="18"/>
        <v>0</v>
      </c>
      <c r="BB26" s="194"/>
      <c r="BC26" s="195"/>
      <c r="BD26" s="608"/>
      <c r="BE26" s="601">
        <f t="shared" si="5"/>
        <v>0</v>
      </c>
      <c r="BG26" s="601">
        <f t="shared" si="19"/>
        <v>0</v>
      </c>
      <c r="BI26" s="611">
        <f t="shared" si="20"/>
        <v>0</v>
      </c>
      <c r="BJ26" s="194"/>
      <c r="BK26" s="195"/>
      <c r="BL26" s="180"/>
      <c r="BM26" s="601">
        <f t="shared" si="6"/>
        <v>0</v>
      </c>
      <c r="BN26" s="607"/>
      <c r="BO26" s="601">
        <f t="shared" si="21"/>
        <v>0</v>
      </c>
      <c r="BQ26" s="611">
        <f t="shared" si="22"/>
        <v>0</v>
      </c>
      <c r="BR26" s="194"/>
      <c r="BS26" s="195"/>
      <c r="BT26" s="180"/>
      <c r="BU26" s="601">
        <f t="shared" si="7"/>
        <v>0</v>
      </c>
      <c r="BV26" s="607"/>
      <c r="BW26" s="601">
        <f t="shared" si="23"/>
        <v>0</v>
      </c>
    </row>
    <row r="27" spans="1:75" hidden="1">
      <c r="A27" s="147">
        <v>15</v>
      </c>
      <c r="B27" s="599">
        <f>Efetivo!B27</f>
        <v>0</v>
      </c>
      <c r="C27" s="600"/>
      <c r="D27" s="601">
        <f>Efetivo!T27</f>
        <v>0</v>
      </c>
      <c r="E27" s="600"/>
      <c r="F27" s="602">
        <f>Efetivo!E27+Efetivo!CC27</f>
        <v>0</v>
      </c>
      <c r="G27" s="179"/>
      <c r="H27" s="189"/>
      <c r="I27" s="190"/>
      <c r="J27" s="191"/>
      <c r="K27" s="180"/>
      <c r="L27" s="602">
        <f>Efetivo!BZ27</f>
        <v>0</v>
      </c>
      <c r="M27" s="607"/>
      <c r="N27" s="601">
        <f t="shared" si="8"/>
        <v>0</v>
      </c>
      <c r="O27" s="608"/>
      <c r="P27" s="601">
        <f t="shared" si="9"/>
        <v>0</v>
      </c>
      <c r="Q27" s="908">
        <f t="shared" si="10"/>
        <v>0</v>
      </c>
      <c r="R27" s="601">
        <f t="shared" si="11"/>
        <v>0</v>
      </c>
      <c r="S27" s="607"/>
      <c r="T27" s="602">
        <f t="shared" si="0"/>
        <v>0</v>
      </c>
      <c r="U27" s="181"/>
      <c r="V27" s="190"/>
      <c r="W27" s="192"/>
      <c r="X27" s="180"/>
      <c r="Y27" s="601">
        <f t="shared" si="12"/>
        <v>0</v>
      </c>
      <c r="Z27" s="607"/>
      <c r="AA27" s="601">
        <f t="shared" si="1"/>
        <v>0</v>
      </c>
      <c r="AC27" s="611">
        <f>F27+Efetivo!CJ27</f>
        <v>0</v>
      </c>
      <c r="AD27" s="194"/>
      <c r="AE27" s="195"/>
      <c r="AF27" s="180"/>
      <c r="AG27" s="601">
        <f t="shared" si="2"/>
        <v>0</v>
      </c>
      <c r="AH27" s="607"/>
      <c r="AI27" s="601">
        <f t="shared" si="13"/>
        <v>0</v>
      </c>
      <c r="AK27" s="611">
        <f t="shared" si="14"/>
        <v>0</v>
      </c>
      <c r="AL27" s="194"/>
      <c r="AM27" s="195"/>
      <c r="AN27" s="180"/>
      <c r="AO27" s="601">
        <f t="shared" si="3"/>
        <v>0</v>
      </c>
      <c r="AP27" s="607"/>
      <c r="AQ27" s="601">
        <f t="shared" si="15"/>
        <v>0</v>
      </c>
      <c r="AS27" s="611">
        <f t="shared" si="16"/>
        <v>0</v>
      </c>
      <c r="AT27" s="194"/>
      <c r="AU27" s="195"/>
      <c r="AV27" s="180"/>
      <c r="AW27" s="601">
        <f t="shared" si="4"/>
        <v>0</v>
      </c>
      <c r="AX27" s="607"/>
      <c r="AY27" s="601">
        <f t="shared" si="17"/>
        <v>0</v>
      </c>
      <c r="BA27" s="611">
        <f t="shared" si="18"/>
        <v>0</v>
      </c>
      <c r="BB27" s="194"/>
      <c r="BC27" s="195"/>
      <c r="BD27" s="608"/>
      <c r="BE27" s="601">
        <f t="shared" si="5"/>
        <v>0</v>
      </c>
      <c r="BG27" s="601">
        <f t="shared" si="19"/>
        <v>0</v>
      </c>
      <c r="BI27" s="611">
        <f t="shared" si="20"/>
        <v>0</v>
      </c>
      <c r="BJ27" s="194"/>
      <c r="BK27" s="195"/>
      <c r="BL27" s="180"/>
      <c r="BM27" s="601">
        <f t="shared" si="6"/>
        <v>0</v>
      </c>
      <c r="BN27" s="607"/>
      <c r="BO27" s="601">
        <f t="shared" si="21"/>
        <v>0</v>
      </c>
      <c r="BQ27" s="611">
        <f t="shared" si="22"/>
        <v>0</v>
      </c>
      <c r="BR27" s="194"/>
      <c r="BS27" s="195"/>
      <c r="BT27" s="180"/>
      <c r="BU27" s="601">
        <f t="shared" si="7"/>
        <v>0</v>
      </c>
      <c r="BV27" s="607"/>
      <c r="BW27" s="601">
        <f t="shared" si="23"/>
        <v>0</v>
      </c>
    </row>
    <row r="28" spans="1:75" hidden="1">
      <c r="A28" s="147">
        <v>16</v>
      </c>
      <c r="B28" s="599">
        <f>Efetivo!B28</f>
        <v>0</v>
      </c>
      <c r="C28" s="600"/>
      <c r="D28" s="601">
        <f>Efetivo!T28</f>
        <v>0</v>
      </c>
      <c r="E28" s="600"/>
      <c r="F28" s="602">
        <f>Efetivo!E28+Efetivo!CC28</f>
        <v>0</v>
      </c>
      <c r="G28" s="179"/>
      <c r="H28" s="189"/>
      <c r="I28" s="190"/>
      <c r="J28" s="191"/>
      <c r="K28" s="180"/>
      <c r="L28" s="602">
        <f>Efetivo!BZ28</f>
        <v>0</v>
      </c>
      <c r="M28" s="607"/>
      <c r="N28" s="601">
        <f t="shared" si="8"/>
        <v>0</v>
      </c>
      <c r="O28" s="608"/>
      <c r="P28" s="601">
        <f t="shared" si="9"/>
        <v>0</v>
      </c>
      <c r="Q28" s="908">
        <f t="shared" si="10"/>
        <v>0</v>
      </c>
      <c r="R28" s="601">
        <f t="shared" si="11"/>
        <v>0</v>
      </c>
      <c r="S28" s="607"/>
      <c r="T28" s="602">
        <f t="shared" si="0"/>
        <v>0</v>
      </c>
      <c r="U28" s="181"/>
      <c r="V28" s="190"/>
      <c r="W28" s="192"/>
      <c r="X28" s="180"/>
      <c r="Y28" s="601">
        <f t="shared" si="12"/>
        <v>0</v>
      </c>
      <c r="Z28" s="607"/>
      <c r="AA28" s="601">
        <f t="shared" si="1"/>
        <v>0</v>
      </c>
      <c r="AC28" s="611">
        <f>F28+Efetivo!CJ28</f>
        <v>0</v>
      </c>
      <c r="AD28" s="194"/>
      <c r="AE28" s="195"/>
      <c r="AF28" s="180"/>
      <c r="AG28" s="601">
        <f t="shared" si="2"/>
        <v>0</v>
      </c>
      <c r="AH28" s="607"/>
      <c r="AI28" s="601">
        <f t="shared" si="13"/>
        <v>0</v>
      </c>
      <c r="AK28" s="611">
        <f t="shared" si="14"/>
        <v>0</v>
      </c>
      <c r="AL28" s="194"/>
      <c r="AM28" s="195"/>
      <c r="AN28" s="180"/>
      <c r="AO28" s="601">
        <f t="shared" si="3"/>
        <v>0</v>
      </c>
      <c r="AP28" s="607"/>
      <c r="AQ28" s="601">
        <f t="shared" si="15"/>
        <v>0</v>
      </c>
      <c r="AS28" s="611">
        <f t="shared" si="16"/>
        <v>0</v>
      </c>
      <c r="AT28" s="194"/>
      <c r="AU28" s="195"/>
      <c r="AV28" s="180"/>
      <c r="AW28" s="601">
        <f t="shared" si="4"/>
        <v>0</v>
      </c>
      <c r="AX28" s="607"/>
      <c r="AY28" s="601">
        <f t="shared" si="17"/>
        <v>0</v>
      </c>
      <c r="BA28" s="611">
        <f t="shared" si="18"/>
        <v>0</v>
      </c>
      <c r="BB28" s="194"/>
      <c r="BC28" s="195"/>
      <c r="BD28" s="608"/>
      <c r="BE28" s="601">
        <f t="shared" si="5"/>
        <v>0</v>
      </c>
      <c r="BG28" s="601">
        <f t="shared" si="19"/>
        <v>0</v>
      </c>
      <c r="BI28" s="611">
        <f t="shared" si="20"/>
        <v>0</v>
      </c>
      <c r="BJ28" s="194"/>
      <c r="BK28" s="195"/>
      <c r="BL28" s="180"/>
      <c r="BM28" s="601">
        <f t="shared" si="6"/>
        <v>0</v>
      </c>
      <c r="BN28" s="607"/>
      <c r="BO28" s="601">
        <f t="shared" si="21"/>
        <v>0</v>
      </c>
      <c r="BQ28" s="611">
        <f t="shared" si="22"/>
        <v>0</v>
      </c>
      <c r="BR28" s="194"/>
      <c r="BS28" s="195"/>
      <c r="BT28" s="180"/>
      <c r="BU28" s="601">
        <f t="shared" si="7"/>
        <v>0</v>
      </c>
      <c r="BV28" s="607"/>
      <c r="BW28" s="601">
        <f t="shared" si="23"/>
        <v>0</v>
      </c>
    </row>
    <row r="29" spans="1:75" hidden="1">
      <c r="A29" s="147">
        <v>17</v>
      </c>
      <c r="B29" s="599">
        <f>Efetivo!B29</f>
        <v>0</v>
      </c>
      <c r="C29" s="600"/>
      <c r="D29" s="601">
        <f>Efetivo!T29</f>
        <v>0</v>
      </c>
      <c r="E29" s="600"/>
      <c r="F29" s="602">
        <f>Efetivo!E29+Efetivo!CC29</f>
        <v>0</v>
      </c>
      <c r="G29" s="179"/>
      <c r="H29" s="189"/>
      <c r="I29" s="190"/>
      <c r="J29" s="191"/>
      <c r="K29" s="180"/>
      <c r="L29" s="602">
        <f>Efetivo!BZ29</f>
        <v>0</v>
      </c>
      <c r="M29" s="607"/>
      <c r="N29" s="601">
        <f t="shared" si="8"/>
        <v>0</v>
      </c>
      <c r="O29" s="608"/>
      <c r="P29" s="601">
        <f t="shared" si="9"/>
        <v>0</v>
      </c>
      <c r="Q29" s="908">
        <f t="shared" si="10"/>
        <v>0</v>
      </c>
      <c r="R29" s="601">
        <f t="shared" si="11"/>
        <v>0</v>
      </c>
      <c r="S29" s="607"/>
      <c r="T29" s="602">
        <f t="shared" si="0"/>
        <v>0</v>
      </c>
      <c r="U29" s="181"/>
      <c r="V29" s="190"/>
      <c r="W29" s="192"/>
      <c r="X29" s="180"/>
      <c r="Y29" s="601">
        <f t="shared" si="12"/>
        <v>0</v>
      </c>
      <c r="Z29" s="607"/>
      <c r="AA29" s="601">
        <f t="shared" si="1"/>
        <v>0</v>
      </c>
      <c r="AC29" s="611">
        <f>F29+Efetivo!CJ29</f>
        <v>0</v>
      </c>
      <c r="AD29" s="194"/>
      <c r="AE29" s="195"/>
      <c r="AF29" s="180"/>
      <c r="AG29" s="601">
        <f t="shared" si="2"/>
        <v>0</v>
      </c>
      <c r="AH29" s="607"/>
      <c r="AI29" s="601">
        <f t="shared" si="13"/>
        <v>0</v>
      </c>
      <c r="AK29" s="611">
        <f t="shared" si="14"/>
        <v>0</v>
      </c>
      <c r="AL29" s="194"/>
      <c r="AM29" s="195"/>
      <c r="AN29" s="180"/>
      <c r="AO29" s="601">
        <f t="shared" si="3"/>
        <v>0</v>
      </c>
      <c r="AP29" s="607"/>
      <c r="AQ29" s="601">
        <f t="shared" si="15"/>
        <v>0</v>
      </c>
      <c r="AS29" s="611">
        <f t="shared" si="16"/>
        <v>0</v>
      </c>
      <c r="AT29" s="194"/>
      <c r="AU29" s="195"/>
      <c r="AV29" s="180"/>
      <c r="AW29" s="601">
        <f t="shared" si="4"/>
        <v>0</v>
      </c>
      <c r="AX29" s="607"/>
      <c r="AY29" s="601">
        <f t="shared" si="17"/>
        <v>0</v>
      </c>
      <c r="BA29" s="611">
        <f t="shared" si="18"/>
        <v>0</v>
      </c>
      <c r="BB29" s="194"/>
      <c r="BC29" s="195"/>
      <c r="BD29" s="608"/>
      <c r="BE29" s="601">
        <f t="shared" si="5"/>
        <v>0</v>
      </c>
      <c r="BG29" s="601">
        <f t="shared" si="19"/>
        <v>0</v>
      </c>
      <c r="BI29" s="611">
        <f t="shared" si="20"/>
        <v>0</v>
      </c>
      <c r="BJ29" s="194"/>
      <c r="BK29" s="195"/>
      <c r="BL29" s="180"/>
      <c r="BM29" s="601">
        <f t="shared" si="6"/>
        <v>0</v>
      </c>
      <c r="BN29" s="607"/>
      <c r="BO29" s="601">
        <f t="shared" si="21"/>
        <v>0</v>
      </c>
      <c r="BQ29" s="611">
        <f t="shared" si="22"/>
        <v>0</v>
      </c>
      <c r="BR29" s="194"/>
      <c r="BS29" s="195"/>
      <c r="BT29" s="180"/>
      <c r="BU29" s="601">
        <f t="shared" si="7"/>
        <v>0</v>
      </c>
      <c r="BV29" s="607"/>
      <c r="BW29" s="601">
        <f t="shared" si="23"/>
        <v>0</v>
      </c>
    </row>
    <row r="30" spans="1:75" hidden="1">
      <c r="A30" s="147">
        <v>18</v>
      </c>
      <c r="B30" s="599">
        <f>Efetivo!B30</f>
        <v>0</v>
      </c>
      <c r="C30" s="600"/>
      <c r="D30" s="601">
        <f>Efetivo!T30</f>
        <v>0</v>
      </c>
      <c r="E30" s="600"/>
      <c r="F30" s="602">
        <f>Efetivo!E30+Efetivo!CC30</f>
        <v>0</v>
      </c>
      <c r="G30" s="179"/>
      <c r="H30" s="189"/>
      <c r="I30" s="190"/>
      <c r="J30" s="191"/>
      <c r="K30" s="180"/>
      <c r="L30" s="602">
        <f>Efetivo!BZ30</f>
        <v>0</v>
      </c>
      <c r="M30" s="607"/>
      <c r="N30" s="601">
        <f t="shared" si="8"/>
        <v>0</v>
      </c>
      <c r="O30" s="608"/>
      <c r="P30" s="601">
        <f t="shared" si="9"/>
        <v>0</v>
      </c>
      <c r="Q30" s="908">
        <f t="shared" si="10"/>
        <v>0</v>
      </c>
      <c r="R30" s="601">
        <f t="shared" si="11"/>
        <v>0</v>
      </c>
      <c r="S30" s="607"/>
      <c r="T30" s="602">
        <f t="shared" si="0"/>
        <v>0</v>
      </c>
      <c r="U30" s="181"/>
      <c r="V30" s="190"/>
      <c r="W30" s="192"/>
      <c r="X30" s="180"/>
      <c r="Y30" s="601">
        <f t="shared" si="12"/>
        <v>0</v>
      </c>
      <c r="Z30" s="607"/>
      <c r="AA30" s="601">
        <f t="shared" si="1"/>
        <v>0</v>
      </c>
      <c r="AC30" s="611">
        <f>F30+Efetivo!CJ30</f>
        <v>0</v>
      </c>
      <c r="AD30" s="194"/>
      <c r="AE30" s="195"/>
      <c r="AF30" s="180"/>
      <c r="AG30" s="601">
        <f t="shared" si="2"/>
        <v>0</v>
      </c>
      <c r="AH30" s="607"/>
      <c r="AI30" s="601">
        <f t="shared" si="13"/>
        <v>0</v>
      </c>
      <c r="AK30" s="611">
        <f t="shared" si="14"/>
        <v>0</v>
      </c>
      <c r="AL30" s="194"/>
      <c r="AM30" s="195"/>
      <c r="AN30" s="180"/>
      <c r="AO30" s="601">
        <f t="shared" si="3"/>
        <v>0</v>
      </c>
      <c r="AP30" s="607"/>
      <c r="AQ30" s="601">
        <f t="shared" si="15"/>
        <v>0</v>
      </c>
      <c r="AS30" s="611">
        <f t="shared" si="16"/>
        <v>0</v>
      </c>
      <c r="AT30" s="194"/>
      <c r="AU30" s="195"/>
      <c r="AV30" s="180"/>
      <c r="AW30" s="601">
        <f t="shared" si="4"/>
        <v>0</v>
      </c>
      <c r="AX30" s="607"/>
      <c r="AY30" s="601">
        <f t="shared" si="17"/>
        <v>0</v>
      </c>
      <c r="BA30" s="611">
        <f t="shared" si="18"/>
        <v>0</v>
      </c>
      <c r="BB30" s="194"/>
      <c r="BC30" s="195"/>
      <c r="BD30" s="608"/>
      <c r="BE30" s="601">
        <f t="shared" si="5"/>
        <v>0</v>
      </c>
      <c r="BG30" s="601">
        <f t="shared" si="19"/>
        <v>0</v>
      </c>
      <c r="BI30" s="611">
        <f t="shared" si="20"/>
        <v>0</v>
      </c>
      <c r="BJ30" s="194"/>
      <c r="BK30" s="195"/>
      <c r="BL30" s="180"/>
      <c r="BM30" s="601">
        <f t="shared" si="6"/>
        <v>0</v>
      </c>
      <c r="BN30" s="607"/>
      <c r="BO30" s="601">
        <f t="shared" si="21"/>
        <v>0</v>
      </c>
      <c r="BQ30" s="611">
        <f t="shared" si="22"/>
        <v>0</v>
      </c>
      <c r="BR30" s="194"/>
      <c r="BS30" s="195"/>
      <c r="BT30" s="180"/>
      <c r="BU30" s="601">
        <f t="shared" si="7"/>
        <v>0</v>
      </c>
      <c r="BV30" s="607"/>
      <c r="BW30" s="601">
        <f t="shared" si="23"/>
        <v>0</v>
      </c>
    </row>
    <row r="31" spans="1:75" hidden="1">
      <c r="A31" s="147">
        <v>19</v>
      </c>
      <c r="B31" s="599">
        <f>Efetivo!B31</f>
        <v>0</v>
      </c>
      <c r="C31" s="600"/>
      <c r="D31" s="601">
        <f>Efetivo!T31</f>
        <v>0</v>
      </c>
      <c r="E31" s="600"/>
      <c r="F31" s="602">
        <f>Efetivo!E31+Efetivo!CC31</f>
        <v>0</v>
      </c>
      <c r="G31" s="179"/>
      <c r="H31" s="189"/>
      <c r="I31" s="190"/>
      <c r="J31" s="191"/>
      <c r="K31" s="180"/>
      <c r="L31" s="602">
        <f>Efetivo!BZ31</f>
        <v>0</v>
      </c>
      <c r="M31" s="607"/>
      <c r="N31" s="601">
        <f t="shared" si="8"/>
        <v>0</v>
      </c>
      <c r="O31" s="608"/>
      <c r="P31" s="601">
        <f t="shared" si="9"/>
        <v>0</v>
      </c>
      <c r="Q31" s="908">
        <f t="shared" si="10"/>
        <v>0</v>
      </c>
      <c r="R31" s="601">
        <f t="shared" si="11"/>
        <v>0</v>
      </c>
      <c r="S31" s="607"/>
      <c r="T31" s="602">
        <f t="shared" si="0"/>
        <v>0</v>
      </c>
      <c r="U31" s="181"/>
      <c r="V31" s="190"/>
      <c r="W31" s="192"/>
      <c r="X31" s="180"/>
      <c r="Y31" s="601">
        <f t="shared" si="12"/>
        <v>0</v>
      </c>
      <c r="Z31" s="607"/>
      <c r="AA31" s="601">
        <f t="shared" si="1"/>
        <v>0</v>
      </c>
      <c r="AC31" s="611">
        <f>F31+Efetivo!CJ31</f>
        <v>0</v>
      </c>
      <c r="AD31" s="194"/>
      <c r="AE31" s="195"/>
      <c r="AF31" s="180"/>
      <c r="AG31" s="601">
        <f t="shared" si="2"/>
        <v>0</v>
      </c>
      <c r="AH31" s="607"/>
      <c r="AI31" s="601">
        <f t="shared" si="13"/>
        <v>0</v>
      </c>
      <c r="AK31" s="611">
        <f t="shared" si="14"/>
        <v>0</v>
      </c>
      <c r="AL31" s="194"/>
      <c r="AM31" s="195"/>
      <c r="AN31" s="180"/>
      <c r="AO31" s="601">
        <f t="shared" si="3"/>
        <v>0</v>
      </c>
      <c r="AP31" s="607"/>
      <c r="AQ31" s="601">
        <f t="shared" si="15"/>
        <v>0</v>
      </c>
      <c r="AS31" s="611">
        <f t="shared" si="16"/>
        <v>0</v>
      </c>
      <c r="AT31" s="194"/>
      <c r="AU31" s="195"/>
      <c r="AV31" s="180"/>
      <c r="AW31" s="601">
        <f t="shared" si="4"/>
        <v>0</v>
      </c>
      <c r="AX31" s="607"/>
      <c r="AY31" s="601">
        <f t="shared" si="17"/>
        <v>0</v>
      </c>
      <c r="BA31" s="611">
        <f t="shared" si="18"/>
        <v>0</v>
      </c>
      <c r="BB31" s="194"/>
      <c r="BC31" s="195"/>
      <c r="BD31" s="608"/>
      <c r="BE31" s="601">
        <f t="shared" si="5"/>
        <v>0</v>
      </c>
      <c r="BG31" s="601">
        <f t="shared" si="19"/>
        <v>0</v>
      </c>
      <c r="BI31" s="611">
        <f t="shared" si="20"/>
        <v>0</v>
      </c>
      <c r="BJ31" s="194"/>
      <c r="BK31" s="195"/>
      <c r="BL31" s="180"/>
      <c r="BM31" s="601">
        <f t="shared" si="6"/>
        <v>0</v>
      </c>
      <c r="BN31" s="607"/>
      <c r="BO31" s="601">
        <f t="shared" si="21"/>
        <v>0</v>
      </c>
      <c r="BQ31" s="611">
        <f t="shared" si="22"/>
        <v>0</v>
      </c>
      <c r="BR31" s="194"/>
      <c r="BS31" s="195"/>
      <c r="BT31" s="180"/>
      <c r="BU31" s="601">
        <f t="shared" si="7"/>
        <v>0</v>
      </c>
      <c r="BV31" s="607"/>
      <c r="BW31" s="601">
        <f t="shared" si="23"/>
        <v>0</v>
      </c>
    </row>
    <row r="32" spans="1:75" hidden="1">
      <c r="A32" s="147">
        <v>20</v>
      </c>
      <c r="B32" s="599">
        <f>Efetivo!B32</f>
        <v>0</v>
      </c>
      <c r="C32" s="600"/>
      <c r="D32" s="601">
        <f>Efetivo!T32</f>
        <v>0</v>
      </c>
      <c r="E32" s="600"/>
      <c r="F32" s="602">
        <f>Efetivo!E32+Efetivo!CC32</f>
        <v>0</v>
      </c>
      <c r="G32" s="179"/>
      <c r="H32" s="189"/>
      <c r="I32" s="190"/>
      <c r="J32" s="191"/>
      <c r="K32" s="180"/>
      <c r="L32" s="602">
        <f>Efetivo!BZ32</f>
        <v>0</v>
      </c>
      <c r="M32" s="607"/>
      <c r="N32" s="601">
        <f t="shared" si="8"/>
        <v>0</v>
      </c>
      <c r="O32" s="608"/>
      <c r="P32" s="601">
        <f t="shared" si="9"/>
        <v>0</v>
      </c>
      <c r="Q32" s="908">
        <f t="shared" si="10"/>
        <v>0</v>
      </c>
      <c r="R32" s="601">
        <f t="shared" si="11"/>
        <v>0</v>
      </c>
      <c r="S32" s="607"/>
      <c r="T32" s="602">
        <f t="shared" si="0"/>
        <v>0</v>
      </c>
      <c r="U32" s="181"/>
      <c r="V32" s="190"/>
      <c r="W32" s="192"/>
      <c r="X32" s="180"/>
      <c r="Y32" s="601">
        <f t="shared" si="12"/>
        <v>0</v>
      </c>
      <c r="Z32" s="607"/>
      <c r="AA32" s="601">
        <f t="shared" si="1"/>
        <v>0</v>
      </c>
      <c r="AC32" s="611">
        <f>F32+Efetivo!CJ32</f>
        <v>0</v>
      </c>
      <c r="AD32" s="194"/>
      <c r="AE32" s="195"/>
      <c r="AF32" s="180"/>
      <c r="AG32" s="601">
        <f t="shared" si="2"/>
        <v>0</v>
      </c>
      <c r="AH32" s="607"/>
      <c r="AI32" s="601">
        <f t="shared" si="13"/>
        <v>0</v>
      </c>
      <c r="AK32" s="611">
        <f t="shared" si="14"/>
        <v>0</v>
      </c>
      <c r="AL32" s="194"/>
      <c r="AM32" s="195"/>
      <c r="AN32" s="180"/>
      <c r="AO32" s="601">
        <f t="shared" si="3"/>
        <v>0</v>
      </c>
      <c r="AP32" s="607"/>
      <c r="AQ32" s="601">
        <f t="shared" si="15"/>
        <v>0</v>
      </c>
      <c r="AS32" s="611">
        <f t="shared" si="16"/>
        <v>0</v>
      </c>
      <c r="AT32" s="194"/>
      <c r="AU32" s="195"/>
      <c r="AV32" s="180"/>
      <c r="AW32" s="601">
        <f t="shared" si="4"/>
        <v>0</v>
      </c>
      <c r="AX32" s="607"/>
      <c r="AY32" s="601">
        <f t="shared" si="17"/>
        <v>0</v>
      </c>
      <c r="BA32" s="611">
        <f t="shared" si="18"/>
        <v>0</v>
      </c>
      <c r="BB32" s="194"/>
      <c r="BC32" s="195"/>
      <c r="BD32" s="608"/>
      <c r="BE32" s="601">
        <f t="shared" si="5"/>
        <v>0</v>
      </c>
      <c r="BG32" s="601">
        <f t="shared" si="19"/>
        <v>0</v>
      </c>
      <c r="BI32" s="611">
        <f t="shared" si="20"/>
        <v>0</v>
      </c>
      <c r="BJ32" s="194"/>
      <c r="BK32" s="195"/>
      <c r="BL32" s="180"/>
      <c r="BM32" s="601">
        <f t="shared" si="6"/>
        <v>0</v>
      </c>
      <c r="BN32" s="607"/>
      <c r="BO32" s="601">
        <f t="shared" si="21"/>
        <v>0</v>
      </c>
      <c r="BQ32" s="611">
        <f t="shared" si="22"/>
        <v>0</v>
      </c>
      <c r="BR32" s="194"/>
      <c r="BS32" s="195"/>
      <c r="BT32" s="180"/>
      <c r="BU32" s="601">
        <f t="shared" si="7"/>
        <v>0</v>
      </c>
      <c r="BV32" s="607"/>
      <c r="BW32" s="601">
        <f t="shared" si="23"/>
        <v>0</v>
      </c>
    </row>
    <row r="33" spans="1:75" hidden="1">
      <c r="A33" s="147">
        <v>21</v>
      </c>
      <c r="B33" s="599">
        <f>Efetivo!B33</f>
        <v>0</v>
      </c>
      <c r="C33" s="600"/>
      <c r="D33" s="601">
        <f>Efetivo!T33</f>
        <v>0</v>
      </c>
      <c r="E33" s="600"/>
      <c r="F33" s="602">
        <f>Efetivo!E33+Efetivo!CC33</f>
        <v>0</v>
      </c>
      <c r="G33" s="179"/>
      <c r="H33" s="189"/>
      <c r="I33" s="190"/>
      <c r="J33" s="191"/>
      <c r="K33" s="180"/>
      <c r="L33" s="602">
        <f>Efetivo!BZ33</f>
        <v>0</v>
      </c>
      <c r="M33" s="607"/>
      <c r="N33" s="601">
        <f t="shared" si="8"/>
        <v>0</v>
      </c>
      <c r="O33" s="608"/>
      <c r="P33" s="601">
        <f t="shared" si="9"/>
        <v>0</v>
      </c>
      <c r="Q33" s="908">
        <f t="shared" si="10"/>
        <v>0</v>
      </c>
      <c r="R33" s="601">
        <f t="shared" si="11"/>
        <v>0</v>
      </c>
      <c r="S33" s="607"/>
      <c r="T33" s="602">
        <f t="shared" si="0"/>
        <v>0</v>
      </c>
      <c r="U33" s="181"/>
      <c r="V33" s="190"/>
      <c r="W33" s="192"/>
      <c r="X33" s="180"/>
      <c r="Y33" s="601">
        <f t="shared" si="12"/>
        <v>0</v>
      </c>
      <c r="Z33" s="607"/>
      <c r="AA33" s="601">
        <f t="shared" si="1"/>
        <v>0</v>
      </c>
      <c r="AC33" s="611">
        <f>F33+Efetivo!CJ33</f>
        <v>0</v>
      </c>
      <c r="AD33" s="194"/>
      <c r="AE33" s="195"/>
      <c r="AF33" s="180"/>
      <c r="AG33" s="601">
        <f t="shared" si="2"/>
        <v>0</v>
      </c>
      <c r="AH33" s="607"/>
      <c r="AI33" s="601">
        <f t="shared" si="13"/>
        <v>0</v>
      </c>
      <c r="AK33" s="611">
        <f t="shared" si="14"/>
        <v>0</v>
      </c>
      <c r="AL33" s="194"/>
      <c r="AM33" s="195"/>
      <c r="AN33" s="180"/>
      <c r="AO33" s="601">
        <f t="shared" si="3"/>
        <v>0</v>
      </c>
      <c r="AP33" s="607"/>
      <c r="AQ33" s="601">
        <f t="shared" si="15"/>
        <v>0</v>
      </c>
      <c r="AS33" s="611">
        <f t="shared" si="16"/>
        <v>0</v>
      </c>
      <c r="AT33" s="194"/>
      <c r="AU33" s="195"/>
      <c r="AV33" s="180"/>
      <c r="AW33" s="601">
        <f t="shared" si="4"/>
        <v>0</v>
      </c>
      <c r="AX33" s="607"/>
      <c r="AY33" s="601">
        <f t="shared" si="17"/>
        <v>0</v>
      </c>
      <c r="BA33" s="611">
        <f t="shared" si="18"/>
        <v>0</v>
      </c>
      <c r="BB33" s="194"/>
      <c r="BC33" s="195"/>
      <c r="BD33" s="608"/>
      <c r="BE33" s="601">
        <f t="shared" si="5"/>
        <v>0</v>
      </c>
      <c r="BG33" s="601">
        <f t="shared" si="19"/>
        <v>0</v>
      </c>
      <c r="BI33" s="611">
        <f t="shared" si="20"/>
        <v>0</v>
      </c>
      <c r="BJ33" s="194"/>
      <c r="BK33" s="195"/>
      <c r="BL33" s="180"/>
      <c r="BM33" s="601">
        <f t="shared" si="6"/>
        <v>0</v>
      </c>
      <c r="BN33" s="607"/>
      <c r="BO33" s="601">
        <f t="shared" si="21"/>
        <v>0</v>
      </c>
      <c r="BQ33" s="611">
        <f t="shared" si="22"/>
        <v>0</v>
      </c>
      <c r="BR33" s="194"/>
      <c r="BS33" s="195"/>
      <c r="BT33" s="180"/>
      <c r="BU33" s="601">
        <f t="shared" si="7"/>
        <v>0</v>
      </c>
      <c r="BV33" s="607"/>
      <c r="BW33" s="601">
        <f t="shared" si="23"/>
        <v>0</v>
      </c>
    </row>
    <row r="34" spans="1:75" hidden="1">
      <c r="A34" s="147">
        <v>22</v>
      </c>
      <c r="B34" s="599">
        <f>Efetivo!B34</f>
        <v>0</v>
      </c>
      <c r="C34" s="600"/>
      <c r="D34" s="601">
        <f>Efetivo!T34</f>
        <v>0</v>
      </c>
      <c r="E34" s="600"/>
      <c r="F34" s="602">
        <f>Efetivo!E34+Efetivo!CC34</f>
        <v>0</v>
      </c>
      <c r="G34" s="179"/>
      <c r="H34" s="189"/>
      <c r="I34" s="190"/>
      <c r="J34" s="191"/>
      <c r="K34" s="180"/>
      <c r="L34" s="602">
        <f>Efetivo!BZ34</f>
        <v>0</v>
      </c>
      <c r="M34" s="607"/>
      <c r="N34" s="601">
        <f t="shared" si="8"/>
        <v>0</v>
      </c>
      <c r="O34" s="608"/>
      <c r="P34" s="601">
        <f t="shared" si="9"/>
        <v>0</v>
      </c>
      <c r="Q34" s="908">
        <f t="shared" si="10"/>
        <v>0</v>
      </c>
      <c r="R34" s="601">
        <f t="shared" si="11"/>
        <v>0</v>
      </c>
      <c r="S34" s="607"/>
      <c r="T34" s="602">
        <f t="shared" si="0"/>
        <v>0</v>
      </c>
      <c r="U34" s="181"/>
      <c r="V34" s="190"/>
      <c r="W34" s="192"/>
      <c r="X34" s="180"/>
      <c r="Y34" s="601">
        <f t="shared" si="12"/>
        <v>0</v>
      </c>
      <c r="Z34" s="607"/>
      <c r="AA34" s="601">
        <f t="shared" si="1"/>
        <v>0</v>
      </c>
      <c r="AC34" s="611">
        <f>F34+Efetivo!CJ34</f>
        <v>0</v>
      </c>
      <c r="AD34" s="194"/>
      <c r="AE34" s="195"/>
      <c r="AF34" s="180"/>
      <c r="AG34" s="601">
        <f t="shared" si="2"/>
        <v>0</v>
      </c>
      <c r="AH34" s="607"/>
      <c r="AI34" s="601">
        <f t="shared" si="13"/>
        <v>0</v>
      </c>
      <c r="AK34" s="611">
        <f t="shared" si="14"/>
        <v>0</v>
      </c>
      <c r="AL34" s="194"/>
      <c r="AM34" s="195"/>
      <c r="AN34" s="180"/>
      <c r="AO34" s="601">
        <f t="shared" si="3"/>
        <v>0</v>
      </c>
      <c r="AP34" s="607"/>
      <c r="AQ34" s="601">
        <f t="shared" si="15"/>
        <v>0</v>
      </c>
      <c r="AS34" s="611">
        <f t="shared" si="16"/>
        <v>0</v>
      </c>
      <c r="AT34" s="194"/>
      <c r="AU34" s="195"/>
      <c r="AV34" s="180"/>
      <c r="AW34" s="601">
        <f t="shared" si="4"/>
        <v>0</v>
      </c>
      <c r="AX34" s="607"/>
      <c r="AY34" s="601">
        <f t="shared" si="17"/>
        <v>0</v>
      </c>
      <c r="BA34" s="611">
        <f t="shared" si="18"/>
        <v>0</v>
      </c>
      <c r="BB34" s="194"/>
      <c r="BC34" s="195"/>
      <c r="BD34" s="608"/>
      <c r="BE34" s="601">
        <f t="shared" si="5"/>
        <v>0</v>
      </c>
      <c r="BG34" s="601">
        <f t="shared" si="19"/>
        <v>0</v>
      </c>
      <c r="BI34" s="611">
        <f t="shared" si="20"/>
        <v>0</v>
      </c>
      <c r="BJ34" s="194"/>
      <c r="BK34" s="195"/>
      <c r="BL34" s="180"/>
      <c r="BM34" s="601">
        <f t="shared" si="6"/>
        <v>0</v>
      </c>
      <c r="BN34" s="607"/>
      <c r="BO34" s="601">
        <f t="shared" si="21"/>
        <v>0</v>
      </c>
      <c r="BQ34" s="611">
        <f t="shared" si="22"/>
        <v>0</v>
      </c>
      <c r="BR34" s="194"/>
      <c r="BS34" s="195"/>
      <c r="BT34" s="180"/>
      <c r="BU34" s="601">
        <f t="shared" si="7"/>
        <v>0</v>
      </c>
      <c r="BV34" s="607"/>
      <c r="BW34" s="601">
        <f t="shared" si="23"/>
        <v>0</v>
      </c>
    </row>
    <row r="35" spans="1:75" hidden="1">
      <c r="A35" s="147">
        <v>23</v>
      </c>
      <c r="B35" s="599">
        <f>Efetivo!B35</f>
        <v>0</v>
      </c>
      <c r="C35" s="600"/>
      <c r="D35" s="601">
        <f>Efetivo!T35</f>
        <v>0</v>
      </c>
      <c r="E35" s="600"/>
      <c r="F35" s="602">
        <f>Efetivo!E35+Efetivo!CC35</f>
        <v>0</v>
      </c>
      <c r="G35" s="179"/>
      <c r="H35" s="189"/>
      <c r="I35" s="190"/>
      <c r="J35" s="191"/>
      <c r="K35" s="180"/>
      <c r="L35" s="602">
        <f>Efetivo!BZ35</f>
        <v>0</v>
      </c>
      <c r="M35" s="607"/>
      <c r="N35" s="601">
        <f t="shared" si="8"/>
        <v>0</v>
      </c>
      <c r="O35" s="608"/>
      <c r="P35" s="601">
        <f t="shared" si="9"/>
        <v>0</v>
      </c>
      <c r="Q35" s="908">
        <f t="shared" si="10"/>
        <v>0</v>
      </c>
      <c r="R35" s="601">
        <f t="shared" si="11"/>
        <v>0</v>
      </c>
      <c r="S35" s="607"/>
      <c r="T35" s="602">
        <f t="shared" si="0"/>
        <v>0</v>
      </c>
      <c r="U35" s="181"/>
      <c r="V35" s="190"/>
      <c r="W35" s="192"/>
      <c r="X35" s="180"/>
      <c r="Y35" s="601">
        <f t="shared" si="12"/>
        <v>0</v>
      </c>
      <c r="Z35" s="607"/>
      <c r="AA35" s="601">
        <f t="shared" si="1"/>
        <v>0</v>
      </c>
      <c r="AC35" s="611">
        <f>F35+Efetivo!CJ35</f>
        <v>0</v>
      </c>
      <c r="AD35" s="194"/>
      <c r="AE35" s="195"/>
      <c r="AF35" s="180"/>
      <c r="AG35" s="601">
        <f t="shared" si="2"/>
        <v>0</v>
      </c>
      <c r="AH35" s="607"/>
      <c r="AI35" s="601">
        <f t="shared" si="13"/>
        <v>0</v>
      </c>
      <c r="AK35" s="611">
        <f t="shared" si="14"/>
        <v>0</v>
      </c>
      <c r="AL35" s="194"/>
      <c r="AM35" s="195"/>
      <c r="AN35" s="180"/>
      <c r="AO35" s="601">
        <f t="shared" si="3"/>
        <v>0</v>
      </c>
      <c r="AP35" s="607"/>
      <c r="AQ35" s="601">
        <f t="shared" si="15"/>
        <v>0</v>
      </c>
      <c r="AS35" s="611">
        <f t="shared" si="16"/>
        <v>0</v>
      </c>
      <c r="AT35" s="194"/>
      <c r="AU35" s="195"/>
      <c r="AV35" s="180"/>
      <c r="AW35" s="601">
        <f t="shared" si="4"/>
        <v>0</v>
      </c>
      <c r="AX35" s="607"/>
      <c r="AY35" s="601">
        <f t="shared" si="17"/>
        <v>0</v>
      </c>
      <c r="BA35" s="611">
        <f t="shared" si="18"/>
        <v>0</v>
      </c>
      <c r="BB35" s="194"/>
      <c r="BC35" s="195"/>
      <c r="BD35" s="608"/>
      <c r="BE35" s="601">
        <f t="shared" si="5"/>
        <v>0</v>
      </c>
      <c r="BG35" s="601">
        <f t="shared" si="19"/>
        <v>0</v>
      </c>
      <c r="BI35" s="611">
        <f t="shared" si="20"/>
        <v>0</v>
      </c>
      <c r="BJ35" s="194"/>
      <c r="BK35" s="195"/>
      <c r="BL35" s="180"/>
      <c r="BM35" s="601">
        <f t="shared" si="6"/>
        <v>0</v>
      </c>
      <c r="BN35" s="607"/>
      <c r="BO35" s="601">
        <f t="shared" si="21"/>
        <v>0</v>
      </c>
      <c r="BQ35" s="611">
        <f t="shared" si="22"/>
        <v>0</v>
      </c>
      <c r="BR35" s="194"/>
      <c r="BS35" s="195"/>
      <c r="BT35" s="180"/>
      <c r="BU35" s="601">
        <f t="shared" si="7"/>
        <v>0</v>
      </c>
      <c r="BV35" s="607"/>
      <c r="BW35" s="601">
        <f t="shared" si="23"/>
        <v>0</v>
      </c>
    </row>
    <row r="36" spans="1:75" hidden="1">
      <c r="A36" s="147">
        <v>24</v>
      </c>
      <c r="B36" s="599">
        <f>Efetivo!B36</f>
        <v>0</v>
      </c>
      <c r="C36" s="600"/>
      <c r="D36" s="601">
        <f>Efetivo!T36</f>
        <v>0</v>
      </c>
      <c r="E36" s="600"/>
      <c r="F36" s="602">
        <f>Efetivo!E36+Efetivo!CC36</f>
        <v>0</v>
      </c>
      <c r="G36" s="179"/>
      <c r="H36" s="189"/>
      <c r="I36" s="190"/>
      <c r="J36" s="191"/>
      <c r="K36" s="180"/>
      <c r="L36" s="602">
        <f>Efetivo!BZ36</f>
        <v>0</v>
      </c>
      <c r="M36" s="607"/>
      <c r="N36" s="601">
        <f t="shared" si="8"/>
        <v>0</v>
      </c>
      <c r="O36" s="608"/>
      <c r="P36" s="601">
        <f t="shared" si="9"/>
        <v>0</v>
      </c>
      <c r="Q36" s="908">
        <f t="shared" si="10"/>
        <v>0</v>
      </c>
      <c r="R36" s="601">
        <f t="shared" si="11"/>
        <v>0</v>
      </c>
      <c r="S36" s="607"/>
      <c r="T36" s="602">
        <f t="shared" si="0"/>
        <v>0</v>
      </c>
      <c r="U36" s="181"/>
      <c r="V36" s="190"/>
      <c r="W36" s="192"/>
      <c r="X36" s="180"/>
      <c r="Y36" s="601">
        <f t="shared" si="12"/>
        <v>0</v>
      </c>
      <c r="Z36" s="607"/>
      <c r="AA36" s="601">
        <f t="shared" si="1"/>
        <v>0</v>
      </c>
      <c r="AC36" s="611">
        <f>F36+Efetivo!CJ36</f>
        <v>0</v>
      </c>
      <c r="AD36" s="194"/>
      <c r="AE36" s="195"/>
      <c r="AF36" s="180"/>
      <c r="AG36" s="601">
        <f t="shared" si="2"/>
        <v>0</v>
      </c>
      <c r="AH36" s="607"/>
      <c r="AI36" s="601">
        <f t="shared" si="13"/>
        <v>0</v>
      </c>
      <c r="AK36" s="611">
        <f t="shared" si="14"/>
        <v>0</v>
      </c>
      <c r="AL36" s="194"/>
      <c r="AM36" s="195"/>
      <c r="AN36" s="180"/>
      <c r="AO36" s="601">
        <f t="shared" si="3"/>
        <v>0</v>
      </c>
      <c r="AP36" s="607"/>
      <c r="AQ36" s="601">
        <f t="shared" si="15"/>
        <v>0</v>
      </c>
      <c r="AS36" s="611">
        <f t="shared" si="16"/>
        <v>0</v>
      </c>
      <c r="AT36" s="194"/>
      <c r="AU36" s="195"/>
      <c r="AV36" s="180"/>
      <c r="AW36" s="601">
        <f t="shared" si="4"/>
        <v>0</v>
      </c>
      <c r="AX36" s="607"/>
      <c r="AY36" s="601">
        <f t="shared" si="17"/>
        <v>0</v>
      </c>
      <c r="BA36" s="611">
        <f t="shared" si="18"/>
        <v>0</v>
      </c>
      <c r="BB36" s="194"/>
      <c r="BC36" s="195"/>
      <c r="BD36" s="608"/>
      <c r="BE36" s="601">
        <f t="shared" si="5"/>
        <v>0</v>
      </c>
      <c r="BG36" s="601">
        <f t="shared" si="19"/>
        <v>0</v>
      </c>
      <c r="BI36" s="611">
        <f t="shared" si="20"/>
        <v>0</v>
      </c>
      <c r="BJ36" s="194"/>
      <c r="BK36" s="195"/>
      <c r="BL36" s="180"/>
      <c r="BM36" s="601">
        <f t="shared" si="6"/>
        <v>0</v>
      </c>
      <c r="BN36" s="607"/>
      <c r="BO36" s="601">
        <f t="shared" si="21"/>
        <v>0</v>
      </c>
      <c r="BQ36" s="611">
        <f t="shared" si="22"/>
        <v>0</v>
      </c>
      <c r="BR36" s="194"/>
      <c r="BS36" s="195"/>
      <c r="BT36" s="180"/>
      <c r="BU36" s="601">
        <f t="shared" si="7"/>
        <v>0</v>
      </c>
      <c r="BV36" s="607"/>
      <c r="BW36" s="601">
        <f t="shared" si="23"/>
        <v>0</v>
      </c>
    </row>
    <row r="37" spans="1:75" hidden="1">
      <c r="A37" s="147">
        <v>25</v>
      </c>
      <c r="B37" s="599">
        <f>Efetivo!B37</f>
        <v>0</v>
      </c>
      <c r="C37" s="600"/>
      <c r="D37" s="601">
        <f>Efetivo!T37</f>
        <v>0</v>
      </c>
      <c r="E37" s="600"/>
      <c r="F37" s="602">
        <f>Efetivo!E37+Efetivo!CC37</f>
        <v>0</v>
      </c>
      <c r="G37" s="179"/>
      <c r="H37" s="189"/>
      <c r="I37" s="190"/>
      <c r="J37" s="191"/>
      <c r="K37" s="180"/>
      <c r="L37" s="602">
        <f>Efetivo!BZ37</f>
        <v>0</v>
      </c>
      <c r="M37" s="607"/>
      <c r="N37" s="601">
        <f t="shared" si="8"/>
        <v>0</v>
      </c>
      <c r="O37" s="608"/>
      <c r="P37" s="601">
        <f t="shared" si="9"/>
        <v>0</v>
      </c>
      <c r="Q37" s="908">
        <f t="shared" si="10"/>
        <v>0</v>
      </c>
      <c r="R37" s="601">
        <f t="shared" si="11"/>
        <v>0</v>
      </c>
      <c r="S37" s="607"/>
      <c r="T37" s="602">
        <f t="shared" si="0"/>
        <v>0</v>
      </c>
      <c r="U37" s="181"/>
      <c r="V37" s="190"/>
      <c r="W37" s="192"/>
      <c r="X37" s="180"/>
      <c r="Y37" s="601">
        <f t="shared" si="12"/>
        <v>0</v>
      </c>
      <c r="Z37" s="607"/>
      <c r="AA37" s="601">
        <f t="shared" si="1"/>
        <v>0</v>
      </c>
      <c r="AC37" s="611">
        <f>F37+Efetivo!CJ37</f>
        <v>0</v>
      </c>
      <c r="AD37" s="194"/>
      <c r="AE37" s="195"/>
      <c r="AF37" s="180"/>
      <c r="AG37" s="601">
        <f t="shared" si="2"/>
        <v>0</v>
      </c>
      <c r="AH37" s="607"/>
      <c r="AI37" s="601">
        <f t="shared" si="13"/>
        <v>0</v>
      </c>
      <c r="AK37" s="611">
        <f t="shared" si="14"/>
        <v>0</v>
      </c>
      <c r="AL37" s="194"/>
      <c r="AM37" s="195"/>
      <c r="AN37" s="180"/>
      <c r="AO37" s="601">
        <f t="shared" si="3"/>
        <v>0</v>
      </c>
      <c r="AP37" s="607"/>
      <c r="AQ37" s="601">
        <f t="shared" si="15"/>
        <v>0</v>
      </c>
      <c r="AS37" s="611">
        <f t="shared" si="16"/>
        <v>0</v>
      </c>
      <c r="AT37" s="194"/>
      <c r="AU37" s="195"/>
      <c r="AV37" s="180"/>
      <c r="AW37" s="601">
        <f t="shared" si="4"/>
        <v>0</v>
      </c>
      <c r="AX37" s="607"/>
      <c r="AY37" s="601">
        <f t="shared" si="17"/>
        <v>0</v>
      </c>
      <c r="BA37" s="611">
        <f t="shared" si="18"/>
        <v>0</v>
      </c>
      <c r="BB37" s="194"/>
      <c r="BC37" s="195"/>
      <c r="BD37" s="608"/>
      <c r="BE37" s="601">
        <f t="shared" si="5"/>
        <v>0</v>
      </c>
      <c r="BG37" s="601">
        <f t="shared" si="19"/>
        <v>0</v>
      </c>
      <c r="BI37" s="611">
        <f t="shared" si="20"/>
        <v>0</v>
      </c>
      <c r="BJ37" s="194"/>
      <c r="BK37" s="195"/>
      <c r="BL37" s="180"/>
      <c r="BM37" s="601">
        <f t="shared" si="6"/>
        <v>0</v>
      </c>
      <c r="BN37" s="607"/>
      <c r="BO37" s="601">
        <f t="shared" si="21"/>
        <v>0</v>
      </c>
      <c r="BQ37" s="611">
        <f t="shared" si="22"/>
        <v>0</v>
      </c>
      <c r="BR37" s="194"/>
      <c r="BS37" s="195"/>
      <c r="BT37" s="180"/>
      <c r="BU37" s="601">
        <f t="shared" si="7"/>
        <v>0</v>
      </c>
      <c r="BV37" s="607"/>
      <c r="BW37" s="601">
        <f t="shared" si="23"/>
        <v>0</v>
      </c>
    </row>
    <row r="38" spans="1:75" hidden="1">
      <c r="A38" s="147">
        <v>26</v>
      </c>
      <c r="B38" s="599">
        <f>Efetivo!B38</f>
        <v>0</v>
      </c>
      <c r="C38" s="600"/>
      <c r="D38" s="601">
        <f>Efetivo!T38</f>
        <v>0</v>
      </c>
      <c r="E38" s="600"/>
      <c r="F38" s="602">
        <f>Efetivo!E38+Efetivo!CC38</f>
        <v>0</v>
      </c>
      <c r="G38" s="179"/>
      <c r="H38" s="189"/>
      <c r="I38" s="190"/>
      <c r="J38" s="191"/>
      <c r="K38" s="180"/>
      <c r="L38" s="602">
        <f>Efetivo!BZ38</f>
        <v>0</v>
      </c>
      <c r="M38" s="607"/>
      <c r="N38" s="601">
        <f t="shared" si="8"/>
        <v>0</v>
      </c>
      <c r="O38" s="608"/>
      <c r="P38" s="601">
        <f t="shared" si="9"/>
        <v>0</v>
      </c>
      <c r="Q38" s="908">
        <f t="shared" si="10"/>
        <v>0</v>
      </c>
      <c r="R38" s="601">
        <f t="shared" si="11"/>
        <v>0</v>
      </c>
      <c r="S38" s="607"/>
      <c r="T38" s="602">
        <f t="shared" si="0"/>
        <v>0</v>
      </c>
      <c r="U38" s="181"/>
      <c r="V38" s="190"/>
      <c r="W38" s="192"/>
      <c r="X38" s="180"/>
      <c r="Y38" s="601">
        <f t="shared" si="12"/>
        <v>0</v>
      </c>
      <c r="Z38" s="607"/>
      <c r="AA38" s="601">
        <f t="shared" si="1"/>
        <v>0</v>
      </c>
      <c r="AC38" s="611">
        <f>F38+Efetivo!CJ38</f>
        <v>0</v>
      </c>
      <c r="AD38" s="194"/>
      <c r="AE38" s="195"/>
      <c r="AF38" s="180"/>
      <c r="AG38" s="601">
        <f t="shared" si="2"/>
        <v>0</v>
      </c>
      <c r="AH38" s="607"/>
      <c r="AI38" s="601">
        <f t="shared" si="13"/>
        <v>0</v>
      </c>
      <c r="AK38" s="611">
        <f t="shared" si="14"/>
        <v>0</v>
      </c>
      <c r="AL38" s="194"/>
      <c r="AM38" s="195"/>
      <c r="AN38" s="180"/>
      <c r="AO38" s="601">
        <f t="shared" si="3"/>
        <v>0</v>
      </c>
      <c r="AP38" s="607"/>
      <c r="AQ38" s="601">
        <f t="shared" si="15"/>
        <v>0</v>
      </c>
      <c r="AS38" s="611">
        <f t="shared" si="16"/>
        <v>0</v>
      </c>
      <c r="AT38" s="194"/>
      <c r="AU38" s="195"/>
      <c r="AV38" s="180"/>
      <c r="AW38" s="601">
        <f t="shared" si="4"/>
        <v>0</v>
      </c>
      <c r="AX38" s="607"/>
      <c r="AY38" s="601">
        <f t="shared" si="17"/>
        <v>0</v>
      </c>
      <c r="BA38" s="611">
        <f t="shared" si="18"/>
        <v>0</v>
      </c>
      <c r="BB38" s="194"/>
      <c r="BC38" s="195"/>
      <c r="BD38" s="608"/>
      <c r="BE38" s="601">
        <f t="shared" si="5"/>
        <v>0</v>
      </c>
      <c r="BG38" s="601">
        <f t="shared" si="19"/>
        <v>0</v>
      </c>
      <c r="BI38" s="611">
        <f t="shared" si="20"/>
        <v>0</v>
      </c>
      <c r="BJ38" s="194"/>
      <c r="BK38" s="195"/>
      <c r="BL38" s="180"/>
      <c r="BM38" s="601">
        <f t="shared" si="6"/>
        <v>0</v>
      </c>
      <c r="BN38" s="607"/>
      <c r="BO38" s="601">
        <f t="shared" si="21"/>
        <v>0</v>
      </c>
      <c r="BQ38" s="611">
        <f t="shared" si="22"/>
        <v>0</v>
      </c>
      <c r="BR38" s="194"/>
      <c r="BS38" s="195"/>
      <c r="BT38" s="180"/>
      <c r="BU38" s="601">
        <f t="shared" si="7"/>
        <v>0</v>
      </c>
      <c r="BV38" s="607"/>
      <c r="BW38" s="601">
        <f t="shared" si="23"/>
        <v>0</v>
      </c>
    </row>
    <row r="39" spans="1:75" hidden="1">
      <c r="A39" s="147">
        <v>27</v>
      </c>
      <c r="B39" s="599">
        <f>Efetivo!B39</f>
        <v>0</v>
      </c>
      <c r="C39" s="600"/>
      <c r="D39" s="601">
        <f>Efetivo!T39</f>
        <v>0</v>
      </c>
      <c r="E39" s="600"/>
      <c r="F39" s="602">
        <f>Efetivo!E39+Efetivo!CC39</f>
        <v>0</v>
      </c>
      <c r="G39" s="179"/>
      <c r="H39" s="189"/>
      <c r="I39" s="190"/>
      <c r="J39" s="191"/>
      <c r="K39" s="180"/>
      <c r="L39" s="602">
        <f>Efetivo!BZ39</f>
        <v>0</v>
      </c>
      <c r="M39" s="607"/>
      <c r="N39" s="601">
        <f t="shared" si="8"/>
        <v>0</v>
      </c>
      <c r="O39" s="608"/>
      <c r="P39" s="601">
        <f t="shared" si="9"/>
        <v>0</v>
      </c>
      <c r="Q39" s="908">
        <f t="shared" si="10"/>
        <v>0</v>
      </c>
      <c r="R39" s="601">
        <f t="shared" si="11"/>
        <v>0</v>
      </c>
      <c r="S39" s="607"/>
      <c r="T39" s="602">
        <f t="shared" si="0"/>
        <v>0</v>
      </c>
      <c r="U39" s="181"/>
      <c r="V39" s="190"/>
      <c r="W39" s="192"/>
      <c r="X39" s="180"/>
      <c r="Y39" s="601">
        <f t="shared" si="12"/>
        <v>0</v>
      </c>
      <c r="Z39" s="607"/>
      <c r="AA39" s="601">
        <f t="shared" si="1"/>
        <v>0</v>
      </c>
      <c r="AC39" s="611">
        <f>F39+Efetivo!CJ39</f>
        <v>0</v>
      </c>
      <c r="AD39" s="194"/>
      <c r="AE39" s="195"/>
      <c r="AF39" s="180"/>
      <c r="AG39" s="601">
        <f t="shared" si="2"/>
        <v>0</v>
      </c>
      <c r="AH39" s="607"/>
      <c r="AI39" s="601">
        <f t="shared" si="13"/>
        <v>0</v>
      </c>
      <c r="AK39" s="611">
        <f t="shared" si="14"/>
        <v>0</v>
      </c>
      <c r="AL39" s="194"/>
      <c r="AM39" s="195"/>
      <c r="AN39" s="180"/>
      <c r="AO39" s="601">
        <f t="shared" si="3"/>
        <v>0</v>
      </c>
      <c r="AP39" s="607"/>
      <c r="AQ39" s="601">
        <f t="shared" si="15"/>
        <v>0</v>
      </c>
      <c r="AS39" s="611">
        <f t="shared" si="16"/>
        <v>0</v>
      </c>
      <c r="AT39" s="194"/>
      <c r="AU39" s="195"/>
      <c r="AV39" s="180"/>
      <c r="AW39" s="601">
        <f t="shared" si="4"/>
        <v>0</v>
      </c>
      <c r="AX39" s="607"/>
      <c r="AY39" s="601">
        <f t="shared" si="17"/>
        <v>0</v>
      </c>
      <c r="BA39" s="611">
        <f t="shared" si="18"/>
        <v>0</v>
      </c>
      <c r="BB39" s="194"/>
      <c r="BC39" s="195"/>
      <c r="BD39" s="608"/>
      <c r="BE39" s="601">
        <f t="shared" si="5"/>
        <v>0</v>
      </c>
      <c r="BG39" s="601">
        <f t="shared" si="19"/>
        <v>0</v>
      </c>
      <c r="BI39" s="611">
        <f t="shared" si="20"/>
        <v>0</v>
      </c>
      <c r="BJ39" s="194"/>
      <c r="BK39" s="195"/>
      <c r="BL39" s="180"/>
      <c r="BM39" s="601">
        <f t="shared" si="6"/>
        <v>0</v>
      </c>
      <c r="BN39" s="607"/>
      <c r="BO39" s="601">
        <f t="shared" si="21"/>
        <v>0</v>
      </c>
      <c r="BQ39" s="611">
        <f t="shared" si="22"/>
        <v>0</v>
      </c>
      <c r="BR39" s="194"/>
      <c r="BS39" s="195"/>
      <c r="BT39" s="180"/>
      <c r="BU39" s="601">
        <f t="shared" si="7"/>
        <v>0</v>
      </c>
      <c r="BV39" s="607"/>
      <c r="BW39" s="601">
        <f t="shared" si="23"/>
        <v>0</v>
      </c>
    </row>
    <row r="40" spans="1:75" hidden="1">
      <c r="A40" s="147">
        <v>28</v>
      </c>
      <c r="B40" s="599">
        <f>Efetivo!B40</f>
        <v>0</v>
      </c>
      <c r="C40" s="600"/>
      <c r="D40" s="601">
        <f>Efetivo!T40</f>
        <v>0</v>
      </c>
      <c r="E40" s="600"/>
      <c r="F40" s="602">
        <f>Efetivo!E40+Efetivo!CC40</f>
        <v>0</v>
      </c>
      <c r="G40" s="179"/>
      <c r="H40" s="189"/>
      <c r="I40" s="190"/>
      <c r="J40" s="191"/>
      <c r="K40" s="180"/>
      <c r="L40" s="602">
        <f>Efetivo!BZ40</f>
        <v>0</v>
      </c>
      <c r="M40" s="607"/>
      <c r="N40" s="601">
        <f t="shared" si="8"/>
        <v>0</v>
      </c>
      <c r="O40" s="608"/>
      <c r="P40" s="601">
        <f t="shared" si="9"/>
        <v>0</v>
      </c>
      <c r="Q40" s="908">
        <f t="shared" si="10"/>
        <v>0</v>
      </c>
      <c r="R40" s="601">
        <f t="shared" si="11"/>
        <v>0</v>
      </c>
      <c r="S40" s="607"/>
      <c r="T40" s="602">
        <f t="shared" si="0"/>
        <v>0</v>
      </c>
      <c r="U40" s="181"/>
      <c r="V40" s="190"/>
      <c r="W40" s="192"/>
      <c r="X40" s="180"/>
      <c r="Y40" s="601">
        <f t="shared" si="12"/>
        <v>0</v>
      </c>
      <c r="Z40" s="607"/>
      <c r="AA40" s="601">
        <f t="shared" si="1"/>
        <v>0</v>
      </c>
      <c r="AC40" s="611">
        <f>F40+Efetivo!CJ40</f>
        <v>0</v>
      </c>
      <c r="AD40" s="194"/>
      <c r="AE40" s="195"/>
      <c r="AF40" s="180"/>
      <c r="AG40" s="601">
        <f t="shared" si="2"/>
        <v>0</v>
      </c>
      <c r="AH40" s="607"/>
      <c r="AI40" s="601">
        <f t="shared" si="13"/>
        <v>0</v>
      </c>
      <c r="AK40" s="611">
        <f t="shared" si="14"/>
        <v>0</v>
      </c>
      <c r="AL40" s="194"/>
      <c r="AM40" s="195"/>
      <c r="AN40" s="180"/>
      <c r="AO40" s="601">
        <f t="shared" si="3"/>
        <v>0</v>
      </c>
      <c r="AP40" s="607"/>
      <c r="AQ40" s="601">
        <f t="shared" si="15"/>
        <v>0</v>
      </c>
      <c r="AS40" s="611">
        <f t="shared" si="16"/>
        <v>0</v>
      </c>
      <c r="AT40" s="194"/>
      <c r="AU40" s="195"/>
      <c r="AV40" s="180"/>
      <c r="AW40" s="601">
        <f t="shared" si="4"/>
        <v>0</v>
      </c>
      <c r="AX40" s="607"/>
      <c r="AY40" s="601">
        <f t="shared" si="17"/>
        <v>0</v>
      </c>
      <c r="BA40" s="611">
        <f t="shared" si="18"/>
        <v>0</v>
      </c>
      <c r="BB40" s="194"/>
      <c r="BC40" s="195"/>
      <c r="BD40" s="608"/>
      <c r="BE40" s="601">
        <f t="shared" si="5"/>
        <v>0</v>
      </c>
      <c r="BG40" s="601">
        <f t="shared" si="19"/>
        <v>0</v>
      </c>
      <c r="BI40" s="611">
        <f t="shared" si="20"/>
        <v>0</v>
      </c>
      <c r="BJ40" s="194"/>
      <c r="BK40" s="195"/>
      <c r="BL40" s="180"/>
      <c r="BM40" s="601">
        <f t="shared" si="6"/>
        <v>0</v>
      </c>
      <c r="BN40" s="607"/>
      <c r="BO40" s="601">
        <f t="shared" si="21"/>
        <v>0</v>
      </c>
      <c r="BQ40" s="611">
        <f t="shared" si="22"/>
        <v>0</v>
      </c>
      <c r="BR40" s="194"/>
      <c r="BS40" s="195"/>
      <c r="BT40" s="180"/>
      <c r="BU40" s="601">
        <f t="shared" si="7"/>
        <v>0</v>
      </c>
      <c r="BV40" s="607"/>
      <c r="BW40" s="601">
        <f t="shared" si="23"/>
        <v>0</v>
      </c>
    </row>
    <row r="41" spans="1:75" hidden="1">
      <c r="A41" s="147">
        <v>29</v>
      </c>
      <c r="B41" s="599">
        <f>Efetivo!B41</f>
        <v>0</v>
      </c>
      <c r="C41" s="600"/>
      <c r="D41" s="601">
        <f>Efetivo!T41</f>
        <v>0</v>
      </c>
      <c r="E41" s="600"/>
      <c r="F41" s="602">
        <f>Efetivo!E41+Efetivo!CC41</f>
        <v>0</v>
      </c>
      <c r="G41" s="179"/>
      <c r="H41" s="189"/>
      <c r="I41" s="190"/>
      <c r="J41" s="191"/>
      <c r="K41" s="180"/>
      <c r="L41" s="602">
        <f>Efetivo!BZ41</f>
        <v>0</v>
      </c>
      <c r="M41" s="607"/>
      <c r="N41" s="601">
        <f t="shared" si="8"/>
        <v>0</v>
      </c>
      <c r="O41" s="608"/>
      <c r="P41" s="601">
        <f t="shared" si="9"/>
        <v>0</v>
      </c>
      <c r="Q41" s="908">
        <f t="shared" si="10"/>
        <v>0</v>
      </c>
      <c r="R41" s="601">
        <f t="shared" si="11"/>
        <v>0</v>
      </c>
      <c r="S41" s="607"/>
      <c r="T41" s="602">
        <f t="shared" si="0"/>
        <v>0</v>
      </c>
      <c r="U41" s="181"/>
      <c r="V41" s="190"/>
      <c r="W41" s="192"/>
      <c r="X41" s="180"/>
      <c r="Y41" s="601">
        <f t="shared" si="12"/>
        <v>0</v>
      </c>
      <c r="Z41" s="607"/>
      <c r="AA41" s="601">
        <f t="shared" si="1"/>
        <v>0</v>
      </c>
      <c r="AC41" s="611">
        <f>F41+Efetivo!CJ41</f>
        <v>0</v>
      </c>
      <c r="AD41" s="194"/>
      <c r="AE41" s="195"/>
      <c r="AF41" s="180"/>
      <c r="AG41" s="601">
        <f t="shared" si="2"/>
        <v>0</v>
      </c>
      <c r="AH41" s="607"/>
      <c r="AI41" s="601">
        <f t="shared" si="13"/>
        <v>0</v>
      </c>
      <c r="AK41" s="611">
        <f t="shared" si="14"/>
        <v>0</v>
      </c>
      <c r="AL41" s="194"/>
      <c r="AM41" s="195"/>
      <c r="AN41" s="180"/>
      <c r="AO41" s="601">
        <f t="shared" si="3"/>
        <v>0</v>
      </c>
      <c r="AP41" s="607"/>
      <c r="AQ41" s="601">
        <f t="shared" si="15"/>
        <v>0</v>
      </c>
      <c r="AS41" s="611">
        <f t="shared" si="16"/>
        <v>0</v>
      </c>
      <c r="AT41" s="194"/>
      <c r="AU41" s="195"/>
      <c r="AV41" s="180"/>
      <c r="AW41" s="601">
        <f t="shared" si="4"/>
        <v>0</v>
      </c>
      <c r="AX41" s="607"/>
      <c r="AY41" s="601">
        <f t="shared" si="17"/>
        <v>0</v>
      </c>
      <c r="BA41" s="611">
        <f t="shared" si="18"/>
        <v>0</v>
      </c>
      <c r="BB41" s="194"/>
      <c r="BC41" s="195"/>
      <c r="BD41" s="608"/>
      <c r="BE41" s="601">
        <f t="shared" si="5"/>
        <v>0</v>
      </c>
      <c r="BG41" s="601">
        <f t="shared" si="19"/>
        <v>0</v>
      </c>
      <c r="BI41" s="611">
        <f t="shared" si="20"/>
        <v>0</v>
      </c>
      <c r="BJ41" s="194"/>
      <c r="BK41" s="195"/>
      <c r="BL41" s="180"/>
      <c r="BM41" s="601">
        <f t="shared" si="6"/>
        <v>0</v>
      </c>
      <c r="BN41" s="607"/>
      <c r="BO41" s="601">
        <f t="shared" si="21"/>
        <v>0</v>
      </c>
      <c r="BQ41" s="611">
        <f t="shared" si="22"/>
        <v>0</v>
      </c>
      <c r="BR41" s="194"/>
      <c r="BS41" s="195"/>
      <c r="BT41" s="180"/>
      <c r="BU41" s="601">
        <f t="shared" si="7"/>
        <v>0</v>
      </c>
      <c r="BV41" s="607"/>
      <c r="BW41" s="601">
        <f t="shared" si="23"/>
        <v>0</v>
      </c>
    </row>
    <row r="42" spans="1:75" hidden="1">
      <c r="A42" s="147">
        <v>30</v>
      </c>
      <c r="B42" s="599">
        <f>Efetivo!B42</f>
        <v>0</v>
      </c>
      <c r="C42" s="600"/>
      <c r="D42" s="601">
        <f>Efetivo!T42</f>
        <v>0</v>
      </c>
      <c r="E42" s="600"/>
      <c r="F42" s="602">
        <f>Efetivo!E42+Efetivo!CC42</f>
        <v>0</v>
      </c>
      <c r="G42" s="179"/>
      <c r="H42" s="189"/>
      <c r="I42" s="190"/>
      <c r="J42" s="191"/>
      <c r="K42" s="180"/>
      <c r="L42" s="602">
        <f>Efetivo!BZ42</f>
        <v>0</v>
      </c>
      <c r="M42" s="607"/>
      <c r="N42" s="601">
        <f t="shared" si="8"/>
        <v>0</v>
      </c>
      <c r="O42" s="608"/>
      <c r="P42" s="601">
        <f t="shared" si="9"/>
        <v>0</v>
      </c>
      <c r="Q42" s="908">
        <f t="shared" si="10"/>
        <v>0</v>
      </c>
      <c r="R42" s="601">
        <f t="shared" si="11"/>
        <v>0</v>
      </c>
      <c r="S42" s="607"/>
      <c r="T42" s="602">
        <f t="shared" si="0"/>
        <v>0</v>
      </c>
      <c r="U42" s="181"/>
      <c r="V42" s="190"/>
      <c r="W42" s="192"/>
      <c r="X42" s="180"/>
      <c r="Y42" s="601">
        <f t="shared" si="12"/>
        <v>0</v>
      </c>
      <c r="Z42" s="607"/>
      <c r="AA42" s="601">
        <f t="shared" si="1"/>
        <v>0</v>
      </c>
      <c r="AC42" s="611">
        <f>F42+Efetivo!CJ42</f>
        <v>0</v>
      </c>
      <c r="AD42" s="194"/>
      <c r="AE42" s="195"/>
      <c r="AF42" s="180"/>
      <c r="AG42" s="601">
        <f t="shared" si="2"/>
        <v>0</v>
      </c>
      <c r="AH42" s="607"/>
      <c r="AI42" s="601">
        <f t="shared" si="13"/>
        <v>0</v>
      </c>
      <c r="AK42" s="611">
        <f t="shared" si="14"/>
        <v>0</v>
      </c>
      <c r="AL42" s="194"/>
      <c r="AM42" s="195"/>
      <c r="AN42" s="180"/>
      <c r="AO42" s="601">
        <f t="shared" si="3"/>
        <v>0</v>
      </c>
      <c r="AP42" s="607"/>
      <c r="AQ42" s="601">
        <f t="shared" si="15"/>
        <v>0</v>
      </c>
      <c r="AS42" s="611">
        <f t="shared" si="16"/>
        <v>0</v>
      </c>
      <c r="AT42" s="194"/>
      <c r="AU42" s="195"/>
      <c r="AV42" s="180"/>
      <c r="AW42" s="601">
        <f t="shared" si="4"/>
        <v>0</v>
      </c>
      <c r="AX42" s="607"/>
      <c r="AY42" s="601">
        <f t="shared" si="17"/>
        <v>0</v>
      </c>
      <c r="BA42" s="611">
        <f t="shared" si="18"/>
        <v>0</v>
      </c>
      <c r="BB42" s="194"/>
      <c r="BC42" s="195"/>
      <c r="BD42" s="608"/>
      <c r="BE42" s="601">
        <f t="shared" si="5"/>
        <v>0</v>
      </c>
      <c r="BG42" s="601">
        <f t="shared" si="19"/>
        <v>0</v>
      </c>
      <c r="BI42" s="611">
        <f t="shared" si="20"/>
        <v>0</v>
      </c>
      <c r="BJ42" s="194"/>
      <c r="BK42" s="195"/>
      <c r="BL42" s="180"/>
      <c r="BM42" s="601">
        <f t="shared" si="6"/>
        <v>0</v>
      </c>
      <c r="BN42" s="607"/>
      <c r="BO42" s="601">
        <f t="shared" si="21"/>
        <v>0</v>
      </c>
      <c r="BQ42" s="611">
        <f t="shared" si="22"/>
        <v>0</v>
      </c>
      <c r="BR42" s="194"/>
      <c r="BS42" s="195"/>
      <c r="BT42" s="180"/>
      <c r="BU42" s="601">
        <f t="shared" si="7"/>
        <v>0</v>
      </c>
      <c r="BV42" s="607"/>
      <c r="BW42" s="601">
        <f t="shared" si="23"/>
        <v>0</v>
      </c>
    </row>
    <row r="43" spans="1:75" hidden="1">
      <c r="A43" s="147">
        <v>31</v>
      </c>
      <c r="B43" s="599">
        <f>Efetivo!B43</f>
        <v>0</v>
      </c>
      <c r="C43" s="600"/>
      <c r="D43" s="601">
        <f>Efetivo!T43</f>
        <v>0</v>
      </c>
      <c r="E43" s="600"/>
      <c r="F43" s="602">
        <f>Efetivo!E43+Efetivo!CC43</f>
        <v>0</v>
      </c>
      <c r="G43" s="179"/>
      <c r="H43" s="189"/>
      <c r="I43" s="190"/>
      <c r="J43" s="191"/>
      <c r="K43" s="180"/>
      <c r="L43" s="602">
        <f>Efetivo!BZ43</f>
        <v>0</v>
      </c>
      <c r="M43" s="607"/>
      <c r="N43" s="601">
        <f t="shared" si="8"/>
        <v>0</v>
      </c>
      <c r="O43" s="608"/>
      <c r="P43" s="601">
        <f t="shared" si="9"/>
        <v>0</v>
      </c>
      <c r="Q43" s="908">
        <f t="shared" si="10"/>
        <v>0</v>
      </c>
      <c r="R43" s="601">
        <f t="shared" si="11"/>
        <v>0</v>
      </c>
      <c r="S43" s="607"/>
      <c r="T43" s="602">
        <f t="shared" si="0"/>
        <v>0</v>
      </c>
      <c r="U43" s="181"/>
      <c r="V43" s="190"/>
      <c r="W43" s="192"/>
      <c r="X43" s="180"/>
      <c r="Y43" s="601">
        <f t="shared" si="12"/>
        <v>0</v>
      </c>
      <c r="Z43" s="607"/>
      <c r="AA43" s="601">
        <f t="shared" si="1"/>
        <v>0</v>
      </c>
      <c r="AC43" s="611">
        <f>F43+Efetivo!CJ43</f>
        <v>0</v>
      </c>
      <c r="AD43" s="194"/>
      <c r="AE43" s="195"/>
      <c r="AF43" s="180"/>
      <c r="AG43" s="601">
        <f t="shared" si="2"/>
        <v>0</v>
      </c>
      <c r="AH43" s="607"/>
      <c r="AI43" s="601">
        <f t="shared" si="13"/>
        <v>0</v>
      </c>
      <c r="AK43" s="611">
        <f t="shared" si="14"/>
        <v>0</v>
      </c>
      <c r="AL43" s="194"/>
      <c r="AM43" s="195"/>
      <c r="AN43" s="180"/>
      <c r="AO43" s="601">
        <f t="shared" si="3"/>
        <v>0</v>
      </c>
      <c r="AP43" s="607"/>
      <c r="AQ43" s="601">
        <f t="shared" si="15"/>
        <v>0</v>
      </c>
      <c r="AS43" s="611">
        <f t="shared" si="16"/>
        <v>0</v>
      </c>
      <c r="AT43" s="194"/>
      <c r="AU43" s="195"/>
      <c r="AV43" s="180"/>
      <c r="AW43" s="601">
        <f t="shared" si="4"/>
        <v>0</v>
      </c>
      <c r="AX43" s="607"/>
      <c r="AY43" s="601">
        <f t="shared" si="17"/>
        <v>0</v>
      </c>
      <c r="BA43" s="611">
        <f t="shared" si="18"/>
        <v>0</v>
      </c>
      <c r="BB43" s="194"/>
      <c r="BC43" s="195"/>
      <c r="BD43" s="608"/>
      <c r="BE43" s="601">
        <f t="shared" si="5"/>
        <v>0</v>
      </c>
      <c r="BG43" s="601">
        <f t="shared" si="19"/>
        <v>0</v>
      </c>
      <c r="BI43" s="611">
        <f t="shared" si="20"/>
        <v>0</v>
      </c>
      <c r="BJ43" s="194"/>
      <c r="BK43" s="195"/>
      <c r="BL43" s="180"/>
      <c r="BM43" s="601">
        <f t="shared" si="6"/>
        <v>0</v>
      </c>
      <c r="BN43" s="607"/>
      <c r="BO43" s="601">
        <f t="shared" si="21"/>
        <v>0</v>
      </c>
      <c r="BQ43" s="611">
        <f t="shared" si="22"/>
        <v>0</v>
      </c>
      <c r="BR43" s="194"/>
      <c r="BS43" s="195"/>
      <c r="BT43" s="180"/>
      <c r="BU43" s="601">
        <f t="shared" si="7"/>
        <v>0</v>
      </c>
      <c r="BV43" s="607"/>
      <c r="BW43" s="601">
        <f t="shared" si="23"/>
        <v>0</v>
      </c>
    </row>
    <row r="44" spans="1:75" hidden="1">
      <c r="A44" s="147">
        <v>32</v>
      </c>
      <c r="B44" s="599">
        <f>Efetivo!B44</f>
        <v>0</v>
      </c>
      <c r="C44" s="600"/>
      <c r="D44" s="601">
        <f>Efetivo!T44</f>
        <v>0</v>
      </c>
      <c r="E44" s="600"/>
      <c r="F44" s="602">
        <f>Efetivo!E44+Efetivo!CC44</f>
        <v>0</v>
      </c>
      <c r="G44" s="179"/>
      <c r="H44" s="189"/>
      <c r="I44" s="190"/>
      <c r="J44" s="191"/>
      <c r="K44" s="180"/>
      <c r="L44" s="602">
        <f>Efetivo!BZ44</f>
        <v>0</v>
      </c>
      <c r="M44" s="607"/>
      <c r="N44" s="601">
        <f t="shared" si="8"/>
        <v>0</v>
      </c>
      <c r="O44" s="608"/>
      <c r="P44" s="601">
        <f t="shared" si="9"/>
        <v>0</v>
      </c>
      <c r="Q44" s="908">
        <f t="shared" si="10"/>
        <v>0</v>
      </c>
      <c r="R44" s="601">
        <f t="shared" si="11"/>
        <v>0</v>
      </c>
      <c r="S44" s="607"/>
      <c r="T44" s="602">
        <f t="shared" si="0"/>
        <v>0</v>
      </c>
      <c r="U44" s="181"/>
      <c r="V44" s="190"/>
      <c r="W44" s="192"/>
      <c r="X44" s="180"/>
      <c r="Y44" s="601">
        <f t="shared" si="12"/>
        <v>0</v>
      </c>
      <c r="Z44" s="607"/>
      <c r="AA44" s="601">
        <f t="shared" si="1"/>
        <v>0</v>
      </c>
      <c r="AC44" s="611">
        <f>F44+Efetivo!CJ44</f>
        <v>0</v>
      </c>
      <c r="AD44" s="194"/>
      <c r="AE44" s="195"/>
      <c r="AF44" s="180"/>
      <c r="AG44" s="601">
        <f t="shared" si="2"/>
        <v>0</v>
      </c>
      <c r="AH44" s="607"/>
      <c r="AI44" s="601">
        <f t="shared" si="13"/>
        <v>0</v>
      </c>
      <c r="AK44" s="611">
        <f t="shared" si="14"/>
        <v>0</v>
      </c>
      <c r="AL44" s="194"/>
      <c r="AM44" s="195"/>
      <c r="AN44" s="180"/>
      <c r="AO44" s="601">
        <f t="shared" si="3"/>
        <v>0</v>
      </c>
      <c r="AP44" s="607"/>
      <c r="AQ44" s="601">
        <f t="shared" si="15"/>
        <v>0</v>
      </c>
      <c r="AS44" s="611">
        <f t="shared" si="16"/>
        <v>0</v>
      </c>
      <c r="AT44" s="194"/>
      <c r="AU44" s="195"/>
      <c r="AV44" s="180"/>
      <c r="AW44" s="601">
        <f t="shared" si="4"/>
        <v>0</v>
      </c>
      <c r="AX44" s="607"/>
      <c r="AY44" s="601">
        <f t="shared" si="17"/>
        <v>0</v>
      </c>
      <c r="BA44" s="611">
        <f t="shared" si="18"/>
        <v>0</v>
      </c>
      <c r="BB44" s="194"/>
      <c r="BC44" s="195"/>
      <c r="BD44" s="608"/>
      <c r="BE44" s="601">
        <f t="shared" si="5"/>
        <v>0</v>
      </c>
      <c r="BG44" s="601">
        <f t="shared" si="19"/>
        <v>0</v>
      </c>
      <c r="BI44" s="611">
        <f t="shared" si="20"/>
        <v>0</v>
      </c>
      <c r="BJ44" s="194"/>
      <c r="BK44" s="195"/>
      <c r="BL44" s="180"/>
      <c r="BM44" s="601">
        <f t="shared" si="6"/>
        <v>0</v>
      </c>
      <c r="BN44" s="607"/>
      <c r="BO44" s="601">
        <f t="shared" si="21"/>
        <v>0</v>
      </c>
      <c r="BQ44" s="611">
        <f t="shared" si="22"/>
        <v>0</v>
      </c>
      <c r="BR44" s="194"/>
      <c r="BS44" s="195"/>
      <c r="BT44" s="180"/>
      <c r="BU44" s="601">
        <f t="shared" si="7"/>
        <v>0</v>
      </c>
      <c r="BV44" s="607"/>
      <c r="BW44" s="601">
        <f t="shared" si="23"/>
        <v>0</v>
      </c>
    </row>
    <row r="45" spans="1:75" hidden="1">
      <c r="A45" s="147">
        <v>33</v>
      </c>
      <c r="B45" s="599">
        <f>Efetivo!B45</f>
        <v>0</v>
      </c>
      <c r="C45" s="600"/>
      <c r="D45" s="601">
        <f>Efetivo!T45</f>
        <v>0</v>
      </c>
      <c r="E45" s="600"/>
      <c r="F45" s="602">
        <f>Efetivo!E45+Efetivo!CC45</f>
        <v>0</v>
      </c>
      <c r="G45" s="179"/>
      <c r="H45" s="189"/>
      <c r="I45" s="190"/>
      <c r="J45" s="191"/>
      <c r="K45" s="180"/>
      <c r="L45" s="602">
        <f>Efetivo!BZ45</f>
        <v>0</v>
      </c>
      <c r="M45" s="607"/>
      <c r="N45" s="601">
        <f t="shared" si="8"/>
        <v>0</v>
      </c>
      <c r="O45" s="608"/>
      <c r="P45" s="601">
        <f t="shared" si="9"/>
        <v>0</v>
      </c>
      <c r="Q45" s="908">
        <f t="shared" si="10"/>
        <v>0</v>
      </c>
      <c r="R45" s="601">
        <f t="shared" si="11"/>
        <v>0</v>
      </c>
      <c r="S45" s="607"/>
      <c r="T45" s="602">
        <f t="shared" si="0"/>
        <v>0</v>
      </c>
      <c r="U45" s="181"/>
      <c r="V45" s="190"/>
      <c r="W45" s="192"/>
      <c r="X45" s="180"/>
      <c r="Y45" s="601">
        <f t="shared" si="12"/>
        <v>0</v>
      </c>
      <c r="Z45" s="607"/>
      <c r="AA45" s="601">
        <f t="shared" si="1"/>
        <v>0</v>
      </c>
      <c r="AC45" s="611">
        <f>F45+Efetivo!CJ45</f>
        <v>0</v>
      </c>
      <c r="AD45" s="194"/>
      <c r="AE45" s="195"/>
      <c r="AF45" s="180"/>
      <c r="AG45" s="601">
        <f t="shared" ref="AG45:AG53" si="25">-(AD44*AE45)</f>
        <v>0</v>
      </c>
      <c r="AH45" s="607"/>
      <c r="AI45" s="601">
        <f t="shared" si="13"/>
        <v>0</v>
      </c>
      <c r="AK45" s="611">
        <f t="shared" si="14"/>
        <v>0</v>
      </c>
      <c r="AL45" s="194"/>
      <c r="AM45" s="195"/>
      <c r="AN45" s="180"/>
      <c r="AO45" s="601">
        <f t="shared" si="3"/>
        <v>0</v>
      </c>
      <c r="AP45" s="607"/>
      <c r="AQ45" s="601">
        <f t="shared" si="15"/>
        <v>0</v>
      </c>
      <c r="AS45" s="611">
        <f t="shared" si="16"/>
        <v>0</v>
      </c>
      <c r="AT45" s="194"/>
      <c r="AU45" s="195"/>
      <c r="AV45" s="180"/>
      <c r="AW45" s="601">
        <f t="shared" si="4"/>
        <v>0</v>
      </c>
      <c r="AX45" s="607"/>
      <c r="AY45" s="601">
        <f t="shared" si="17"/>
        <v>0</v>
      </c>
      <c r="BA45" s="611">
        <f t="shared" si="18"/>
        <v>0</v>
      </c>
      <c r="BB45" s="194"/>
      <c r="BC45" s="195"/>
      <c r="BD45" s="608"/>
      <c r="BE45" s="601">
        <f t="shared" si="5"/>
        <v>0</v>
      </c>
      <c r="BG45" s="601">
        <f t="shared" si="19"/>
        <v>0</v>
      </c>
      <c r="BI45" s="611">
        <f t="shared" si="20"/>
        <v>0</v>
      </c>
      <c r="BJ45" s="194"/>
      <c r="BK45" s="195"/>
      <c r="BL45" s="180"/>
      <c r="BM45" s="601">
        <f t="shared" si="6"/>
        <v>0</v>
      </c>
      <c r="BN45" s="607"/>
      <c r="BO45" s="601">
        <f t="shared" si="21"/>
        <v>0</v>
      </c>
      <c r="BQ45" s="611">
        <f t="shared" si="22"/>
        <v>0</v>
      </c>
      <c r="BR45" s="194"/>
      <c r="BS45" s="195"/>
      <c r="BT45" s="180"/>
      <c r="BU45" s="601">
        <f t="shared" si="7"/>
        <v>0</v>
      </c>
      <c r="BV45" s="607"/>
      <c r="BW45" s="601">
        <f t="shared" si="23"/>
        <v>0</v>
      </c>
    </row>
    <row r="46" spans="1:75" hidden="1">
      <c r="A46" s="147">
        <v>34</v>
      </c>
      <c r="B46" s="599">
        <f>Efetivo!B46</f>
        <v>0</v>
      </c>
      <c r="C46" s="600"/>
      <c r="D46" s="601">
        <f>Efetivo!T46</f>
        <v>0</v>
      </c>
      <c r="E46" s="600"/>
      <c r="F46" s="602">
        <f>Efetivo!E46+Efetivo!CC46</f>
        <v>0</v>
      </c>
      <c r="G46" s="179"/>
      <c r="H46" s="189"/>
      <c r="I46" s="190"/>
      <c r="J46" s="191"/>
      <c r="K46" s="180"/>
      <c r="L46" s="602">
        <f>Efetivo!BZ46</f>
        <v>0</v>
      </c>
      <c r="M46" s="607"/>
      <c r="N46" s="601">
        <f t="shared" si="8"/>
        <v>0</v>
      </c>
      <c r="O46" s="608"/>
      <c r="P46" s="601">
        <f t="shared" si="9"/>
        <v>0</v>
      </c>
      <c r="Q46" s="908">
        <f t="shared" si="10"/>
        <v>0</v>
      </c>
      <c r="R46" s="601">
        <f t="shared" si="11"/>
        <v>0</v>
      </c>
      <c r="S46" s="607"/>
      <c r="T46" s="602">
        <f t="shared" si="0"/>
        <v>0</v>
      </c>
      <c r="U46" s="181"/>
      <c r="V46" s="190"/>
      <c r="W46" s="192"/>
      <c r="X46" s="180"/>
      <c r="Y46" s="601">
        <f t="shared" si="12"/>
        <v>0</v>
      </c>
      <c r="Z46" s="607"/>
      <c r="AA46" s="601">
        <f t="shared" si="1"/>
        <v>0</v>
      </c>
      <c r="AC46" s="611">
        <f>F46+Efetivo!CJ46</f>
        <v>0</v>
      </c>
      <c r="AD46" s="194"/>
      <c r="AE46" s="195"/>
      <c r="AF46" s="180"/>
      <c r="AG46" s="601">
        <f t="shared" si="25"/>
        <v>0</v>
      </c>
      <c r="AH46" s="607"/>
      <c r="AI46" s="601">
        <f t="shared" si="13"/>
        <v>0</v>
      </c>
      <c r="AK46" s="611">
        <f t="shared" si="14"/>
        <v>0</v>
      </c>
      <c r="AL46" s="194"/>
      <c r="AM46" s="195"/>
      <c r="AN46" s="180"/>
      <c r="AO46" s="601">
        <f t="shared" si="3"/>
        <v>0</v>
      </c>
      <c r="AP46" s="607"/>
      <c r="AQ46" s="601">
        <f t="shared" si="15"/>
        <v>0</v>
      </c>
      <c r="AS46" s="611">
        <f t="shared" si="16"/>
        <v>0</v>
      </c>
      <c r="AT46" s="194"/>
      <c r="AU46" s="195"/>
      <c r="AV46" s="180"/>
      <c r="AW46" s="601">
        <f t="shared" si="4"/>
        <v>0</v>
      </c>
      <c r="AX46" s="607"/>
      <c r="AY46" s="601">
        <f t="shared" si="17"/>
        <v>0</v>
      </c>
      <c r="BA46" s="611">
        <f t="shared" si="18"/>
        <v>0</v>
      </c>
      <c r="BB46" s="194"/>
      <c r="BC46" s="195"/>
      <c r="BD46" s="608"/>
      <c r="BE46" s="601">
        <f t="shared" si="5"/>
        <v>0</v>
      </c>
      <c r="BG46" s="601">
        <f t="shared" si="19"/>
        <v>0</v>
      </c>
      <c r="BI46" s="611">
        <f t="shared" si="20"/>
        <v>0</v>
      </c>
      <c r="BJ46" s="194"/>
      <c r="BK46" s="195"/>
      <c r="BL46" s="180"/>
      <c r="BM46" s="601">
        <f t="shared" si="6"/>
        <v>0</v>
      </c>
      <c r="BN46" s="607"/>
      <c r="BO46" s="601">
        <f t="shared" si="21"/>
        <v>0</v>
      </c>
      <c r="BQ46" s="611">
        <f t="shared" si="22"/>
        <v>0</v>
      </c>
      <c r="BR46" s="194"/>
      <c r="BS46" s="195"/>
      <c r="BT46" s="180"/>
      <c r="BU46" s="601">
        <f t="shared" si="7"/>
        <v>0</v>
      </c>
      <c r="BV46" s="607"/>
      <c r="BW46" s="601">
        <f t="shared" si="23"/>
        <v>0</v>
      </c>
    </row>
    <row r="47" spans="1:75" hidden="1">
      <c r="A47" s="147">
        <v>35</v>
      </c>
      <c r="B47" s="599">
        <f>Efetivo!B47</f>
        <v>0</v>
      </c>
      <c r="C47" s="600"/>
      <c r="D47" s="601">
        <f>Efetivo!T47</f>
        <v>0</v>
      </c>
      <c r="E47" s="600"/>
      <c r="F47" s="602">
        <f>Efetivo!E47+Efetivo!CC47</f>
        <v>0</v>
      </c>
      <c r="G47" s="179"/>
      <c r="H47" s="189"/>
      <c r="I47" s="190"/>
      <c r="J47" s="191"/>
      <c r="K47" s="180"/>
      <c r="L47" s="602">
        <f>Efetivo!BZ47</f>
        <v>0</v>
      </c>
      <c r="M47" s="607"/>
      <c r="N47" s="601">
        <f t="shared" si="8"/>
        <v>0</v>
      </c>
      <c r="O47" s="608"/>
      <c r="P47" s="601">
        <f t="shared" si="9"/>
        <v>0</v>
      </c>
      <c r="Q47" s="908">
        <f t="shared" si="10"/>
        <v>0</v>
      </c>
      <c r="R47" s="601">
        <f t="shared" si="11"/>
        <v>0</v>
      </c>
      <c r="S47" s="607"/>
      <c r="T47" s="602">
        <f t="shared" si="0"/>
        <v>0</v>
      </c>
      <c r="U47" s="181"/>
      <c r="V47" s="190"/>
      <c r="W47" s="192"/>
      <c r="X47" s="180"/>
      <c r="Y47" s="601">
        <f t="shared" si="12"/>
        <v>0</v>
      </c>
      <c r="Z47" s="607"/>
      <c r="AA47" s="601">
        <f t="shared" si="1"/>
        <v>0</v>
      </c>
      <c r="AC47" s="611">
        <f>F47+Efetivo!CJ47</f>
        <v>0</v>
      </c>
      <c r="AD47" s="194"/>
      <c r="AE47" s="195"/>
      <c r="AF47" s="180"/>
      <c r="AG47" s="601">
        <f t="shared" si="25"/>
        <v>0</v>
      </c>
      <c r="AH47" s="607"/>
      <c r="AI47" s="601">
        <f t="shared" si="13"/>
        <v>0</v>
      </c>
      <c r="AK47" s="611">
        <f t="shared" si="14"/>
        <v>0</v>
      </c>
      <c r="AL47" s="194"/>
      <c r="AM47" s="195"/>
      <c r="AN47" s="180"/>
      <c r="AO47" s="601">
        <f t="shared" si="3"/>
        <v>0</v>
      </c>
      <c r="AP47" s="607"/>
      <c r="AQ47" s="601">
        <f t="shared" si="15"/>
        <v>0</v>
      </c>
      <c r="AS47" s="611">
        <f t="shared" si="16"/>
        <v>0</v>
      </c>
      <c r="AT47" s="194"/>
      <c r="AU47" s="195"/>
      <c r="AV47" s="180"/>
      <c r="AW47" s="601">
        <f t="shared" si="4"/>
        <v>0</v>
      </c>
      <c r="AX47" s="607"/>
      <c r="AY47" s="601">
        <f t="shared" si="17"/>
        <v>0</v>
      </c>
      <c r="BA47" s="611">
        <f t="shared" si="18"/>
        <v>0</v>
      </c>
      <c r="BB47" s="194"/>
      <c r="BC47" s="195"/>
      <c r="BD47" s="608"/>
      <c r="BE47" s="601">
        <f t="shared" si="5"/>
        <v>0</v>
      </c>
      <c r="BG47" s="601">
        <f t="shared" si="19"/>
        <v>0</v>
      </c>
      <c r="BI47" s="611">
        <f t="shared" si="20"/>
        <v>0</v>
      </c>
      <c r="BJ47" s="194"/>
      <c r="BK47" s="195"/>
      <c r="BL47" s="180"/>
      <c r="BM47" s="601">
        <f t="shared" si="6"/>
        <v>0</v>
      </c>
      <c r="BN47" s="607"/>
      <c r="BO47" s="601">
        <f t="shared" si="21"/>
        <v>0</v>
      </c>
      <c r="BQ47" s="611">
        <f t="shared" si="22"/>
        <v>0</v>
      </c>
      <c r="BR47" s="194"/>
      <c r="BS47" s="195"/>
      <c r="BT47" s="180"/>
      <c r="BU47" s="601">
        <f t="shared" si="7"/>
        <v>0</v>
      </c>
      <c r="BV47" s="607"/>
      <c r="BW47" s="601">
        <f t="shared" si="23"/>
        <v>0</v>
      </c>
    </row>
    <row r="48" spans="1:75" hidden="1">
      <c r="A48" s="147">
        <v>36</v>
      </c>
      <c r="B48" s="599">
        <f>Efetivo!B48</f>
        <v>0</v>
      </c>
      <c r="C48" s="600"/>
      <c r="D48" s="601">
        <f>Efetivo!T48</f>
        <v>0</v>
      </c>
      <c r="E48" s="600"/>
      <c r="F48" s="602">
        <f>Efetivo!E48+Efetivo!CC48</f>
        <v>0</v>
      </c>
      <c r="G48" s="179"/>
      <c r="H48" s="189"/>
      <c r="I48" s="190"/>
      <c r="J48" s="191"/>
      <c r="K48" s="180"/>
      <c r="L48" s="602">
        <f>Efetivo!BZ48</f>
        <v>0</v>
      </c>
      <c r="M48" s="607"/>
      <c r="N48" s="601">
        <f>L48*(I48*H48)</f>
        <v>0</v>
      </c>
      <c r="O48" s="608"/>
      <c r="P48" s="601">
        <f t="shared" si="9"/>
        <v>0</v>
      </c>
      <c r="Q48" s="908">
        <f t="shared" si="10"/>
        <v>0</v>
      </c>
      <c r="R48" s="601">
        <f t="shared" si="11"/>
        <v>0</v>
      </c>
      <c r="S48" s="607"/>
      <c r="T48" s="602">
        <f>L48</f>
        <v>0</v>
      </c>
      <c r="U48" s="181"/>
      <c r="V48" s="190"/>
      <c r="W48" s="192"/>
      <c r="X48" s="180"/>
      <c r="Y48" s="601">
        <f t="shared" si="12"/>
        <v>0</v>
      </c>
      <c r="Z48" s="607"/>
      <c r="AA48" s="601">
        <f>((V48+Y48)*T48)*$F48</f>
        <v>0</v>
      </c>
      <c r="AC48" s="611">
        <f>F48+Efetivo!CJ48</f>
        <v>0</v>
      </c>
      <c r="AD48" s="194"/>
      <c r="AE48" s="195"/>
      <c r="AF48" s="180"/>
      <c r="AG48" s="601">
        <f t="shared" si="25"/>
        <v>0</v>
      </c>
      <c r="AH48" s="607"/>
      <c r="AI48" s="601">
        <f t="shared" si="13"/>
        <v>0</v>
      </c>
      <c r="AK48" s="611">
        <f>AC48</f>
        <v>0</v>
      </c>
      <c r="AL48" s="194"/>
      <c r="AM48" s="195"/>
      <c r="AN48" s="180"/>
      <c r="AO48" s="601">
        <f>-(AL48*AM48)</f>
        <v>0</v>
      </c>
      <c r="AP48" s="607"/>
      <c r="AQ48" s="601">
        <f t="shared" si="15"/>
        <v>0</v>
      </c>
      <c r="AS48" s="611">
        <f>AK48</f>
        <v>0</v>
      </c>
      <c r="AT48" s="194"/>
      <c r="AU48" s="195"/>
      <c r="AV48" s="180"/>
      <c r="AW48" s="601">
        <f>-(AT48*AU48)</f>
        <v>0</v>
      </c>
      <c r="AX48" s="607"/>
      <c r="AY48" s="601">
        <f t="shared" si="17"/>
        <v>0</v>
      </c>
      <c r="BA48" s="611">
        <f>AS48</f>
        <v>0</v>
      </c>
      <c r="BB48" s="194"/>
      <c r="BC48" s="195"/>
      <c r="BD48" s="608"/>
      <c r="BE48" s="601">
        <f>-(BB48*BC48)</f>
        <v>0</v>
      </c>
      <c r="BG48" s="601">
        <f t="shared" si="19"/>
        <v>0</v>
      </c>
      <c r="BI48" s="611">
        <f>BA48</f>
        <v>0</v>
      </c>
      <c r="BJ48" s="194"/>
      <c r="BK48" s="195"/>
      <c r="BL48" s="180"/>
      <c r="BM48" s="601">
        <f>-(BJ48*BK48)</f>
        <v>0</v>
      </c>
      <c r="BN48" s="607"/>
      <c r="BO48" s="601">
        <f t="shared" si="21"/>
        <v>0</v>
      </c>
      <c r="BQ48" s="611">
        <f>BI48</f>
        <v>0</v>
      </c>
      <c r="BR48" s="194"/>
      <c r="BS48" s="195"/>
      <c r="BT48" s="180"/>
      <c r="BU48" s="601">
        <f>-(BR48*BS48)</f>
        <v>0</v>
      </c>
      <c r="BV48" s="607"/>
      <c r="BW48" s="601">
        <f t="shared" si="23"/>
        <v>0</v>
      </c>
    </row>
    <row r="49" spans="1:75" hidden="1">
      <c r="A49" s="147">
        <v>37</v>
      </c>
      <c r="B49" s="599">
        <f>Efetivo!B49</f>
        <v>0</v>
      </c>
      <c r="C49" s="600"/>
      <c r="D49" s="601">
        <f>Efetivo!T49</f>
        <v>0</v>
      </c>
      <c r="E49" s="600"/>
      <c r="F49" s="602">
        <f>Efetivo!E49+Efetivo!CC49</f>
        <v>0</v>
      </c>
      <c r="G49" s="179"/>
      <c r="H49" s="189"/>
      <c r="I49" s="190"/>
      <c r="J49" s="191"/>
      <c r="K49" s="180"/>
      <c r="L49" s="602">
        <f>Efetivo!BZ49</f>
        <v>0</v>
      </c>
      <c r="M49" s="607"/>
      <c r="N49" s="601">
        <f>L49*(I49*H49)</f>
        <v>0</v>
      </c>
      <c r="O49" s="608"/>
      <c r="P49" s="601">
        <f t="shared" si="9"/>
        <v>0</v>
      </c>
      <c r="Q49" s="908">
        <f t="shared" si="10"/>
        <v>0</v>
      </c>
      <c r="R49" s="601">
        <f t="shared" si="11"/>
        <v>0</v>
      </c>
      <c r="S49" s="607"/>
      <c r="T49" s="602">
        <f>L49</f>
        <v>0</v>
      </c>
      <c r="U49" s="181"/>
      <c r="V49" s="190"/>
      <c r="W49" s="192"/>
      <c r="X49" s="180"/>
      <c r="Y49" s="601">
        <f t="shared" si="12"/>
        <v>0</v>
      </c>
      <c r="Z49" s="607"/>
      <c r="AA49" s="601">
        <f>((V49+Y49)*T49)*$F49</f>
        <v>0</v>
      </c>
      <c r="AC49" s="611">
        <f>F49+Efetivo!CJ49</f>
        <v>0</v>
      </c>
      <c r="AD49" s="194"/>
      <c r="AE49" s="195"/>
      <c r="AF49" s="180"/>
      <c r="AG49" s="601">
        <f t="shared" si="25"/>
        <v>0</v>
      </c>
      <c r="AH49" s="607"/>
      <c r="AI49" s="601">
        <f t="shared" si="13"/>
        <v>0</v>
      </c>
      <c r="AK49" s="611">
        <f>AC49</f>
        <v>0</v>
      </c>
      <c r="AL49" s="194"/>
      <c r="AM49" s="195"/>
      <c r="AN49" s="180"/>
      <c r="AO49" s="601">
        <f>-(AL49*AM49)</f>
        <v>0</v>
      </c>
      <c r="AP49" s="607"/>
      <c r="AQ49" s="601">
        <f t="shared" si="15"/>
        <v>0</v>
      </c>
      <c r="AS49" s="611">
        <f>AK49</f>
        <v>0</v>
      </c>
      <c r="AT49" s="194"/>
      <c r="AU49" s="195"/>
      <c r="AV49" s="180"/>
      <c r="AW49" s="601">
        <f>-(AT49*AU49)</f>
        <v>0</v>
      </c>
      <c r="AX49" s="607"/>
      <c r="AY49" s="601">
        <f t="shared" si="17"/>
        <v>0</v>
      </c>
      <c r="BA49" s="611">
        <f>AS49</f>
        <v>0</v>
      </c>
      <c r="BB49" s="194"/>
      <c r="BC49" s="195"/>
      <c r="BD49" s="608"/>
      <c r="BE49" s="601">
        <f>-(BB49*BC49)</f>
        <v>0</v>
      </c>
      <c r="BG49" s="601">
        <f t="shared" si="19"/>
        <v>0</v>
      </c>
      <c r="BI49" s="611">
        <f>BA49</f>
        <v>0</v>
      </c>
      <c r="BJ49" s="194"/>
      <c r="BK49" s="195"/>
      <c r="BL49" s="180"/>
      <c r="BM49" s="601">
        <f>-(BJ49*BK49)</f>
        <v>0</v>
      </c>
      <c r="BN49" s="607"/>
      <c r="BO49" s="601">
        <f t="shared" si="21"/>
        <v>0</v>
      </c>
      <c r="BQ49" s="611">
        <f>BI49</f>
        <v>0</v>
      </c>
      <c r="BR49" s="194"/>
      <c r="BS49" s="195"/>
      <c r="BT49" s="180"/>
      <c r="BU49" s="601">
        <f>-(BR49*BS49)</f>
        <v>0</v>
      </c>
      <c r="BV49" s="607"/>
      <c r="BW49" s="601">
        <f t="shared" si="23"/>
        <v>0</v>
      </c>
    </row>
    <row r="50" spans="1:75" hidden="1">
      <c r="A50" s="147">
        <v>38</v>
      </c>
      <c r="B50" s="599">
        <f>Efetivo!B50</f>
        <v>0</v>
      </c>
      <c r="C50" s="600"/>
      <c r="D50" s="601">
        <f>Efetivo!T50</f>
        <v>0</v>
      </c>
      <c r="E50" s="600"/>
      <c r="F50" s="602">
        <f>Efetivo!E50+Efetivo!CC50</f>
        <v>0</v>
      </c>
      <c r="G50" s="179"/>
      <c r="H50" s="189"/>
      <c r="I50" s="190"/>
      <c r="J50" s="191"/>
      <c r="K50" s="180"/>
      <c r="L50" s="602">
        <f>Efetivo!BZ50</f>
        <v>0</v>
      </c>
      <c r="M50" s="607"/>
      <c r="N50" s="601">
        <f t="shared" si="8"/>
        <v>0</v>
      </c>
      <c r="O50" s="608"/>
      <c r="P50" s="601">
        <f t="shared" si="9"/>
        <v>0</v>
      </c>
      <c r="Q50" s="908">
        <f t="shared" si="10"/>
        <v>0</v>
      </c>
      <c r="R50" s="601">
        <f t="shared" si="11"/>
        <v>0</v>
      </c>
      <c r="S50" s="607"/>
      <c r="T50" s="602">
        <f t="shared" si="0"/>
        <v>0</v>
      </c>
      <c r="U50" s="181"/>
      <c r="V50" s="190"/>
      <c r="W50" s="192"/>
      <c r="X50" s="180"/>
      <c r="Y50" s="601">
        <f t="shared" si="12"/>
        <v>0</v>
      </c>
      <c r="Z50" s="607"/>
      <c r="AA50" s="601">
        <f t="shared" si="1"/>
        <v>0</v>
      </c>
      <c r="AC50" s="611">
        <f>F50+Efetivo!CJ50</f>
        <v>0</v>
      </c>
      <c r="AD50" s="194"/>
      <c r="AE50" s="195"/>
      <c r="AF50" s="180"/>
      <c r="AG50" s="601">
        <f t="shared" si="25"/>
        <v>0</v>
      </c>
      <c r="AH50" s="607"/>
      <c r="AI50" s="601">
        <f t="shared" si="13"/>
        <v>0</v>
      </c>
      <c r="AK50" s="611">
        <f t="shared" si="14"/>
        <v>0</v>
      </c>
      <c r="AL50" s="194"/>
      <c r="AM50" s="195"/>
      <c r="AN50" s="180"/>
      <c r="AO50" s="601">
        <f t="shared" si="3"/>
        <v>0</v>
      </c>
      <c r="AP50" s="607"/>
      <c r="AQ50" s="601">
        <f t="shared" si="15"/>
        <v>0</v>
      </c>
      <c r="AS50" s="611">
        <f t="shared" si="16"/>
        <v>0</v>
      </c>
      <c r="AT50" s="194"/>
      <c r="AU50" s="195"/>
      <c r="AV50" s="180"/>
      <c r="AW50" s="601">
        <f t="shared" si="4"/>
        <v>0</v>
      </c>
      <c r="AX50" s="607"/>
      <c r="AY50" s="601">
        <f t="shared" si="17"/>
        <v>0</v>
      </c>
      <c r="BA50" s="611">
        <f t="shared" si="18"/>
        <v>0</v>
      </c>
      <c r="BB50" s="194"/>
      <c r="BC50" s="195"/>
      <c r="BD50" s="608"/>
      <c r="BE50" s="601">
        <f t="shared" si="5"/>
        <v>0</v>
      </c>
      <c r="BG50" s="601">
        <f t="shared" si="19"/>
        <v>0</v>
      </c>
      <c r="BI50" s="611">
        <f t="shared" si="20"/>
        <v>0</v>
      </c>
      <c r="BJ50" s="194"/>
      <c r="BK50" s="195"/>
      <c r="BL50" s="180"/>
      <c r="BM50" s="601">
        <f t="shared" si="6"/>
        <v>0</v>
      </c>
      <c r="BN50" s="607"/>
      <c r="BO50" s="601">
        <f t="shared" si="21"/>
        <v>0</v>
      </c>
      <c r="BQ50" s="611">
        <f t="shared" si="22"/>
        <v>0</v>
      </c>
      <c r="BR50" s="194"/>
      <c r="BS50" s="195"/>
      <c r="BT50" s="180"/>
      <c r="BU50" s="601">
        <f t="shared" si="7"/>
        <v>0</v>
      </c>
      <c r="BV50" s="607"/>
      <c r="BW50" s="601">
        <f t="shared" si="23"/>
        <v>0</v>
      </c>
    </row>
    <row r="51" spans="1:75" hidden="1">
      <c r="A51" s="147">
        <v>39</v>
      </c>
      <c r="B51" s="599">
        <f>Efetivo!B51</f>
        <v>0</v>
      </c>
      <c r="C51" s="600"/>
      <c r="D51" s="601">
        <f>Efetivo!T51</f>
        <v>0</v>
      </c>
      <c r="E51" s="600"/>
      <c r="F51" s="602">
        <f>Efetivo!E51+Efetivo!CC51</f>
        <v>0</v>
      </c>
      <c r="G51" s="179"/>
      <c r="H51" s="189"/>
      <c r="I51" s="190"/>
      <c r="J51" s="191"/>
      <c r="K51" s="180"/>
      <c r="L51" s="602">
        <f>Efetivo!BZ51</f>
        <v>0</v>
      </c>
      <c r="M51" s="607"/>
      <c r="N51" s="601">
        <f t="shared" si="8"/>
        <v>0</v>
      </c>
      <c r="O51" s="608"/>
      <c r="P51" s="601">
        <f t="shared" si="9"/>
        <v>0</v>
      </c>
      <c r="Q51" s="908">
        <f t="shared" si="10"/>
        <v>0</v>
      </c>
      <c r="R51" s="601">
        <f t="shared" si="11"/>
        <v>0</v>
      </c>
      <c r="S51" s="607"/>
      <c r="T51" s="602">
        <f t="shared" si="0"/>
        <v>0</v>
      </c>
      <c r="U51" s="181"/>
      <c r="V51" s="190"/>
      <c r="W51" s="192"/>
      <c r="X51" s="180"/>
      <c r="Y51" s="601">
        <f t="shared" si="12"/>
        <v>0</v>
      </c>
      <c r="Z51" s="607"/>
      <c r="AA51" s="601">
        <f t="shared" si="1"/>
        <v>0</v>
      </c>
      <c r="AC51" s="611">
        <f>F51+Efetivo!CJ51</f>
        <v>0</v>
      </c>
      <c r="AD51" s="194"/>
      <c r="AE51" s="195"/>
      <c r="AF51" s="180"/>
      <c r="AG51" s="601">
        <f t="shared" si="25"/>
        <v>0</v>
      </c>
      <c r="AH51" s="607"/>
      <c r="AI51" s="601">
        <f t="shared" si="13"/>
        <v>0</v>
      </c>
      <c r="AK51" s="611">
        <f t="shared" si="14"/>
        <v>0</v>
      </c>
      <c r="AL51" s="194"/>
      <c r="AM51" s="195"/>
      <c r="AN51" s="180"/>
      <c r="AO51" s="601">
        <f t="shared" si="3"/>
        <v>0</v>
      </c>
      <c r="AP51" s="607"/>
      <c r="AQ51" s="601">
        <f t="shared" si="15"/>
        <v>0</v>
      </c>
      <c r="AS51" s="611">
        <f t="shared" si="16"/>
        <v>0</v>
      </c>
      <c r="AT51" s="194"/>
      <c r="AU51" s="195"/>
      <c r="AV51" s="180"/>
      <c r="AW51" s="601">
        <f t="shared" si="4"/>
        <v>0</v>
      </c>
      <c r="AX51" s="607"/>
      <c r="AY51" s="601">
        <f t="shared" si="17"/>
        <v>0</v>
      </c>
      <c r="BA51" s="611">
        <f t="shared" si="18"/>
        <v>0</v>
      </c>
      <c r="BB51" s="194"/>
      <c r="BC51" s="195"/>
      <c r="BD51" s="608"/>
      <c r="BE51" s="601">
        <f t="shared" si="5"/>
        <v>0</v>
      </c>
      <c r="BG51" s="601">
        <f t="shared" si="19"/>
        <v>0</v>
      </c>
      <c r="BI51" s="611">
        <f t="shared" si="20"/>
        <v>0</v>
      </c>
      <c r="BJ51" s="194"/>
      <c r="BK51" s="195"/>
      <c r="BL51" s="180"/>
      <c r="BM51" s="601">
        <f t="shared" si="6"/>
        <v>0</v>
      </c>
      <c r="BN51" s="607"/>
      <c r="BO51" s="601">
        <f t="shared" si="21"/>
        <v>0</v>
      </c>
      <c r="BQ51" s="611">
        <f t="shared" si="22"/>
        <v>0</v>
      </c>
      <c r="BR51" s="194"/>
      <c r="BS51" s="195"/>
      <c r="BT51" s="180"/>
      <c r="BU51" s="601">
        <f t="shared" si="7"/>
        <v>0</v>
      </c>
      <c r="BV51" s="607"/>
      <c r="BW51" s="601">
        <f t="shared" si="23"/>
        <v>0</v>
      </c>
    </row>
    <row r="52" spans="1:75" hidden="1">
      <c r="A52" s="147">
        <v>40</v>
      </c>
      <c r="B52" s="599">
        <f>Efetivo!B52</f>
        <v>0</v>
      </c>
      <c r="C52" s="600"/>
      <c r="D52" s="601">
        <f>Efetivo!T52</f>
        <v>0</v>
      </c>
      <c r="E52" s="600"/>
      <c r="F52" s="602">
        <f>Efetivo!E52+Efetivo!CC52</f>
        <v>0</v>
      </c>
      <c r="G52" s="179"/>
      <c r="H52" s="189"/>
      <c r="I52" s="190"/>
      <c r="J52" s="191"/>
      <c r="K52" s="180"/>
      <c r="L52" s="602">
        <f>Efetivo!BZ52</f>
        <v>0</v>
      </c>
      <c r="M52" s="607"/>
      <c r="N52" s="601">
        <f t="shared" si="8"/>
        <v>0</v>
      </c>
      <c r="O52" s="608"/>
      <c r="P52" s="601">
        <f t="shared" si="9"/>
        <v>0</v>
      </c>
      <c r="Q52" s="908">
        <f t="shared" si="10"/>
        <v>0</v>
      </c>
      <c r="R52" s="601">
        <f t="shared" si="11"/>
        <v>0</v>
      </c>
      <c r="S52" s="607"/>
      <c r="T52" s="602">
        <f t="shared" si="0"/>
        <v>0</v>
      </c>
      <c r="U52" s="181"/>
      <c r="V52" s="190"/>
      <c r="W52" s="192"/>
      <c r="X52" s="180"/>
      <c r="Y52" s="601">
        <f t="shared" si="12"/>
        <v>0</v>
      </c>
      <c r="Z52" s="607"/>
      <c r="AA52" s="601">
        <f t="shared" si="1"/>
        <v>0</v>
      </c>
      <c r="AC52" s="611">
        <f>F52+Efetivo!CJ52</f>
        <v>0</v>
      </c>
      <c r="AD52" s="194"/>
      <c r="AE52" s="195"/>
      <c r="AF52" s="180"/>
      <c r="AG52" s="601">
        <f t="shared" si="25"/>
        <v>0</v>
      </c>
      <c r="AH52" s="607"/>
      <c r="AI52" s="601">
        <f t="shared" si="13"/>
        <v>0</v>
      </c>
      <c r="AK52" s="611">
        <f t="shared" si="14"/>
        <v>0</v>
      </c>
      <c r="AL52" s="194"/>
      <c r="AM52" s="195"/>
      <c r="AN52" s="180"/>
      <c r="AO52" s="601">
        <f t="shared" si="3"/>
        <v>0</v>
      </c>
      <c r="AP52" s="607"/>
      <c r="AQ52" s="601">
        <f t="shared" si="15"/>
        <v>0</v>
      </c>
      <c r="AS52" s="611">
        <f t="shared" si="16"/>
        <v>0</v>
      </c>
      <c r="AT52" s="194"/>
      <c r="AU52" s="195"/>
      <c r="AV52" s="180"/>
      <c r="AW52" s="601">
        <f t="shared" si="4"/>
        <v>0</v>
      </c>
      <c r="AX52" s="607"/>
      <c r="AY52" s="601">
        <f t="shared" si="17"/>
        <v>0</v>
      </c>
      <c r="BA52" s="611">
        <f t="shared" si="18"/>
        <v>0</v>
      </c>
      <c r="BB52" s="194"/>
      <c r="BC52" s="195"/>
      <c r="BD52" s="608"/>
      <c r="BE52" s="601">
        <f t="shared" si="5"/>
        <v>0</v>
      </c>
      <c r="BG52" s="601">
        <f t="shared" si="19"/>
        <v>0</v>
      </c>
      <c r="BI52" s="611">
        <f t="shared" si="20"/>
        <v>0</v>
      </c>
      <c r="BJ52" s="194"/>
      <c r="BK52" s="195"/>
      <c r="BL52" s="180"/>
      <c r="BM52" s="601">
        <f t="shared" si="6"/>
        <v>0</v>
      </c>
      <c r="BN52" s="607"/>
      <c r="BO52" s="601">
        <f t="shared" si="21"/>
        <v>0</v>
      </c>
      <c r="BQ52" s="611">
        <f t="shared" si="22"/>
        <v>0</v>
      </c>
      <c r="BR52" s="194"/>
      <c r="BS52" s="195"/>
      <c r="BT52" s="180"/>
      <c r="BU52" s="601">
        <f t="shared" si="7"/>
        <v>0</v>
      </c>
      <c r="BV52" s="607"/>
      <c r="BW52" s="601">
        <f t="shared" si="23"/>
        <v>0</v>
      </c>
    </row>
    <row r="53" spans="1:75" hidden="1">
      <c r="A53" s="147">
        <v>41</v>
      </c>
      <c r="B53" s="599">
        <f>Efetivo!B53</f>
        <v>0</v>
      </c>
      <c r="C53" s="600"/>
      <c r="D53" s="601">
        <f>Efetivo!T53</f>
        <v>0</v>
      </c>
      <c r="E53" s="600"/>
      <c r="F53" s="602">
        <f>Efetivo!E53+Efetivo!CC53</f>
        <v>0</v>
      </c>
      <c r="G53" s="179"/>
      <c r="H53" s="189"/>
      <c r="I53" s="190"/>
      <c r="J53" s="191"/>
      <c r="K53" s="180"/>
      <c r="L53" s="602">
        <f>Efetivo!BZ53</f>
        <v>0</v>
      </c>
      <c r="M53" s="607"/>
      <c r="N53" s="601">
        <f>L53*(I53*H53)</f>
        <v>0</v>
      </c>
      <c r="O53" s="608"/>
      <c r="P53" s="601">
        <f t="shared" si="9"/>
        <v>0</v>
      </c>
      <c r="Q53" s="908">
        <f t="shared" si="10"/>
        <v>0</v>
      </c>
      <c r="R53" s="601">
        <f t="shared" si="11"/>
        <v>0</v>
      </c>
      <c r="S53" s="607"/>
      <c r="T53" s="602">
        <f>L53</f>
        <v>0</v>
      </c>
      <c r="U53" s="181"/>
      <c r="V53" s="190"/>
      <c r="W53" s="192"/>
      <c r="X53" s="180"/>
      <c r="Y53" s="601">
        <f t="shared" si="12"/>
        <v>0</v>
      </c>
      <c r="Z53" s="607"/>
      <c r="AA53" s="601">
        <f>((V53+Y53)*T53)*$F53</f>
        <v>0</v>
      </c>
      <c r="AC53" s="611">
        <f>F53+Efetivo!CJ53</f>
        <v>0</v>
      </c>
      <c r="AD53" s="194"/>
      <c r="AE53" s="195"/>
      <c r="AF53" s="180"/>
      <c r="AG53" s="601">
        <f t="shared" si="25"/>
        <v>0</v>
      </c>
      <c r="AH53" s="607"/>
      <c r="AI53" s="601">
        <f t="shared" si="13"/>
        <v>0</v>
      </c>
      <c r="AK53" s="611">
        <f>AC53</f>
        <v>0</v>
      </c>
      <c r="AL53" s="194"/>
      <c r="AM53" s="195"/>
      <c r="AN53" s="180"/>
      <c r="AO53" s="601">
        <f>-(AL53*AM53)</f>
        <v>0</v>
      </c>
      <c r="AP53" s="607"/>
      <c r="AQ53" s="601">
        <f t="shared" si="15"/>
        <v>0</v>
      </c>
      <c r="AS53" s="611">
        <f>AK53</f>
        <v>0</v>
      </c>
      <c r="AT53" s="194"/>
      <c r="AU53" s="195"/>
      <c r="AV53" s="180"/>
      <c r="AW53" s="601">
        <f>-(AT53*AU53)</f>
        <v>0</v>
      </c>
      <c r="AX53" s="607"/>
      <c r="AY53" s="601">
        <f t="shared" si="17"/>
        <v>0</v>
      </c>
      <c r="BA53" s="611">
        <f>AS53</f>
        <v>0</v>
      </c>
      <c r="BB53" s="194"/>
      <c r="BC53" s="195"/>
      <c r="BD53" s="608"/>
      <c r="BE53" s="601">
        <f>-(BB53*BC53)</f>
        <v>0</v>
      </c>
      <c r="BG53" s="601">
        <f t="shared" si="19"/>
        <v>0</v>
      </c>
      <c r="BI53" s="611">
        <f>BA53</f>
        <v>0</v>
      </c>
      <c r="BJ53" s="194"/>
      <c r="BK53" s="195"/>
      <c r="BL53" s="180"/>
      <c r="BM53" s="601">
        <f>-(BJ53*BK53)</f>
        <v>0</v>
      </c>
      <c r="BN53" s="607"/>
      <c r="BO53" s="601">
        <f t="shared" si="21"/>
        <v>0</v>
      </c>
      <c r="BQ53" s="611">
        <f>BI53</f>
        <v>0</v>
      </c>
      <c r="BR53" s="194"/>
      <c r="BS53" s="195"/>
      <c r="BT53" s="180"/>
      <c r="BU53" s="601">
        <f>-(BR53*BS53)</f>
        <v>0</v>
      </c>
      <c r="BV53" s="607"/>
      <c r="BW53" s="601">
        <f t="shared" si="23"/>
        <v>0</v>
      </c>
    </row>
    <row r="54" spans="1:75" hidden="1">
      <c r="A54" s="147">
        <v>42</v>
      </c>
      <c r="B54" s="599">
        <f>Efetivo!B54</f>
        <v>0</v>
      </c>
      <c r="C54" s="600"/>
      <c r="D54" s="601">
        <f>Efetivo!T54</f>
        <v>0</v>
      </c>
      <c r="E54" s="600"/>
      <c r="F54" s="602">
        <f>Efetivo!E54+Efetivo!CC54</f>
        <v>0</v>
      </c>
      <c r="G54" s="179"/>
      <c r="H54" s="189"/>
      <c r="I54" s="190"/>
      <c r="J54" s="191"/>
      <c r="K54" s="180"/>
      <c r="L54" s="602">
        <f>Efetivo!BZ54</f>
        <v>0</v>
      </c>
      <c r="M54" s="607"/>
      <c r="N54" s="601">
        <f>L54*(I54*H54)</f>
        <v>0</v>
      </c>
      <c r="O54" s="608"/>
      <c r="P54" s="601">
        <f t="shared" si="9"/>
        <v>0</v>
      </c>
      <c r="Q54" s="908">
        <f t="shared" si="10"/>
        <v>0</v>
      </c>
      <c r="R54" s="601">
        <f t="shared" si="11"/>
        <v>0</v>
      </c>
      <c r="S54" s="607"/>
      <c r="T54" s="602">
        <f>L54</f>
        <v>0</v>
      </c>
      <c r="U54" s="181"/>
      <c r="V54" s="190"/>
      <c r="W54" s="192"/>
      <c r="X54" s="180"/>
      <c r="Y54" s="601">
        <f t="shared" si="12"/>
        <v>0</v>
      </c>
      <c r="Z54" s="607"/>
      <c r="AA54" s="601">
        <f>((V54+Y54)*T54)*$F54</f>
        <v>0</v>
      </c>
      <c r="AC54" s="611">
        <f>F54+Efetivo!CJ54</f>
        <v>0</v>
      </c>
      <c r="AD54" s="194"/>
      <c r="AE54" s="195"/>
      <c r="AF54" s="180"/>
      <c r="AG54" s="601">
        <f>-(AD54*AE54)</f>
        <v>0</v>
      </c>
      <c r="AH54" s="607"/>
      <c r="AI54" s="601">
        <f t="shared" si="13"/>
        <v>0</v>
      </c>
      <c r="AK54" s="611">
        <f>AC54</f>
        <v>0</v>
      </c>
      <c r="AL54" s="194"/>
      <c r="AM54" s="195"/>
      <c r="AN54" s="180"/>
      <c r="AO54" s="601">
        <f>-(AL54*AM54)</f>
        <v>0</v>
      </c>
      <c r="AP54" s="607"/>
      <c r="AQ54" s="601">
        <f t="shared" si="15"/>
        <v>0</v>
      </c>
      <c r="AS54" s="611">
        <f>AK54</f>
        <v>0</v>
      </c>
      <c r="AT54" s="194"/>
      <c r="AU54" s="195"/>
      <c r="AV54" s="180"/>
      <c r="AW54" s="601">
        <f>-(AT54*AU54)</f>
        <v>0</v>
      </c>
      <c r="AX54" s="607"/>
      <c r="AY54" s="601">
        <f t="shared" si="17"/>
        <v>0</v>
      </c>
      <c r="BA54" s="611">
        <f>AS54</f>
        <v>0</v>
      </c>
      <c r="BB54" s="194"/>
      <c r="BC54" s="195"/>
      <c r="BD54" s="608"/>
      <c r="BE54" s="601">
        <f>-(BB54*BC54)</f>
        <v>0</v>
      </c>
      <c r="BG54" s="601">
        <f t="shared" si="19"/>
        <v>0</v>
      </c>
      <c r="BI54" s="611">
        <f>BA54</f>
        <v>0</v>
      </c>
      <c r="BJ54" s="194"/>
      <c r="BK54" s="195"/>
      <c r="BL54" s="180"/>
      <c r="BM54" s="601">
        <f>-(BJ54*BK54)</f>
        <v>0</v>
      </c>
      <c r="BN54" s="607"/>
      <c r="BO54" s="601">
        <f t="shared" si="21"/>
        <v>0</v>
      </c>
      <c r="BQ54" s="611">
        <f>BI54</f>
        <v>0</v>
      </c>
      <c r="BR54" s="194"/>
      <c r="BS54" s="195"/>
      <c r="BT54" s="180"/>
      <c r="BU54" s="601">
        <f>-(BR54*BS54)</f>
        <v>0</v>
      </c>
      <c r="BV54" s="607"/>
      <c r="BW54" s="601">
        <f t="shared" si="23"/>
        <v>0</v>
      </c>
    </row>
    <row r="55" spans="1:75" hidden="1">
      <c r="A55" s="147">
        <v>43</v>
      </c>
      <c r="B55" s="603">
        <f>Efetivo!B55</f>
        <v>0</v>
      </c>
      <c r="C55" s="600"/>
      <c r="D55" s="604">
        <f>Efetivo!T55</f>
        <v>0</v>
      </c>
      <c r="E55" s="600"/>
      <c r="F55" s="605">
        <f>Efetivo!E55+Efetivo!CC55</f>
        <v>0</v>
      </c>
      <c r="G55" s="179"/>
      <c r="H55" s="937"/>
      <c r="I55" s="203"/>
      <c r="J55" s="938"/>
      <c r="K55" s="180"/>
      <c r="L55" s="605">
        <f>Efetivo!BZ55</f>
        <v>0</v>
      </c>
      <c r="M55" s="607"/>
      <c r="N55" s="604">
        <f t="shared" si="8"/>
        <v>0</v>
      </c>
      <c r="O55" s="608"/>
      <c r="P55" s="604">
        <f t="shared" si="9"/>
        <v>0</v>
      </c>
      <c r="Q55" s="908">
        <f t="shared" si="10"/>
        <v>0</v>
      </c>
      <c r="R55" s="604">
        <f t="shared" si="11"/>
        <v>0</v>
      </c>
      <c r="S55" s="607"/>
      <c r="T55" s="605">
        <f t="shared" si="0"/>
        <v>0</v>
      </c>
      <c r="U55" s="181"/>
      <c r="V55" s="203"/>
      <c r="W55" s="204"/>
      <c r="X55" s="180"/>
      <c r="Y55" s="604">
        <f t="shared" si="12"/>
        <v>0</v>
      </c>
      <c r="Z55" s="607"/>
      <c r="AA55" s="604">
        <f t="shared" si="1"/>
        <v>0</v>
      </c>
      <c r="AC55" s="611">
        <f>F55+Efetivo!CJ55</f>
        <v>0</v>
      </c>
      <c r="AD55" s="194"/>
      <c r="AE55" s="195"/>
      <c r="AF55" s="180"/>
      <c r="AG55" s="601">
        <f t="shared" si="2"/>
        <v>0</v>
      </c>
      <c r="AH55" s="607"/>
      <c r="AI55" s="601">
        <f t="shared" si="13"/>
        <v>0</v>
      </c>
      <c r="AK55" s="611">
        <f t="shared" si="14"/>
        <v>0</v>
      </c>
      <c r="AL55" s="194"/>
      <c r="AM55" s="195"/>
      <c r="AN55" s="180"/>
      <c r="AO55" s="601">
        <f t="shared" si="3"/>
        <v>0</v>
      </c>
      <c r="AP55" s="607"/>
      <c r="AQ55" s="601">
        <f t="shared" si="15"/>
        <v>0</v>
      </c>
      <c r="AS55" s="611">
        <f t="shared" si="16"/>
        <v>0</v>
      </c>
      <c r="AT55" s="194"/>
      <c r="AU55" s="195"/>
      <c r="AV55" s="180"/>
      <c r="AW55" s="601">
        <f t="shared" si="4"/>
        <v>0</v>
      </c>
      <c r="AX55" s="607"/>
      <c r="AY55" s="601">
        <f t="shared" si="17"/>
        <v>0</v>
      </c>
      <c r="BA55" s="611">
        <f t="shared" si="18"/>
        <v>0</v>
      </c>
      <c r="BB55" s="194"/>
      <c r="BC55" s="195"/>
      <c r="BD55" s="608"/>
      <c r="BE55" s="601">
        <f t="shared" si="5"/>
        <v>0</v>
      </c>
      <c r="BG55" s="601">
        <f t="shared" si="19"/>
        <v>0</v>
      </c>
      <c r="BI55" s="611">
        <f t="shared" si="20"/>
        <v>0</v>
      </c>
      <c r="BJ55" s="194"/>
      <c r="BK55" s="195"/>
      <c r="BL55" s="180"/>
      <c r="BM55" s="601">
        <f t="shared" si="6"/>
        <v>0</v>
      </c>
      <c r="BN55" s="607"/>
      <c r="BO55" s="601">
        <f t="shared" si="21"/>
        <v>0</v>
      </c>
      <c r="BQ55" s="611">
        <f t="shared" si="22"/>
        <v>0</v>
      </c>
      <c r="BR55" s="194"/>
      <c r="BS55" s="195"/>
      <c r="BT55" s="180"/>
      <c r="BU55" s="601">
        <f t="shared" si="7"/>
        <v>0</v>
      </c>
      <c r="BV55" s="607"/>
      <c r="BW55" s="601">
        <f t="shared" si="23"/>
        <v>0</v>
      </c>
    </row>
    <row r="56" spans="1:75" ht="12" thickBot="1">
      <c r="A56" s="147">
        <v>44</v>
      </c>
      <c r="B56" s="939">
        <f>Efetivo!B56</f>
        <v>0</v>
      </c>
      <c r="C56" s="600"/>
      <c r="D56" s="940">
        <f>Efetivo!T56</f>
        <v>0</v>
      </c>
      <c r="E56" s="600"/>
      <c r="F56" s="919">
        <f>Efetivo!E56+Efetivo!CC56</f>
        <v>0</v>
      </c>
      <c r="G56" s="179"/>
      <c r="H56" s="190"/>
      <c r="I56" s="192"/>
      <c r="J56" s="190"/>
      <c r="K56" s="180"/>
      <c r="L56" s="919">
        <f>Efetivo!BZ56</f>
        <v>0</v>
      </c>
      <c r="M56" s="609"/>
      <c r="N56" s="940">
        <f t="shared" si="8"/>
        <v>0</v>
      </c>
      <c r="O56" s="608"/>
      <c r="P56" s="940">
        <f>IF(N56+Q56&lt;0,-N56,Q56)</f>
        <v>0</v>
      </c>
      <c r="Q56" s="908">
        <f t="shared" si="10"/>
        <v>0</v>
      </c>
      <c r="R56" s="940">
        <f t="shared" si="11"/>
        <v>0</v>
      </c>
      <c r="S56" s="609"/>
      <c r="T56" s="919">
        <f t="shared" si="0"/>
        <v>0</v>
      </c>
      <c r="U56" s="181"/>
      <c r="V56" s="190"/>
      <c r="W56" s="192"/>
      <c r="X56" s="180"/>
      <c r="Y56" s="940">
        <f t="shared" si="12"/>
        <v>0</v>
      </c>
      <c r="Z56" s="609"/>
      <c r="AA56" s="940">
        <f t="shared" si="1"/>
        <v>0</v>
      </c>
      <c r="AB56" s="153"/>
      <c r="AC56" s="611">
        <f>F56+Efetivo!CJ56</f>
        <v>0</v>
      </c>
      <c r="AD56" s="205"/>
      <c r="AE56" s="206"/>
      <c r="AF56" s="180"/>
      <c r="AG56" s="604">
        <f t="shared" si="2"/>
        <v>0</v>
      </c>
      <c r="AH56" s="609"/>
      <c r="AI56" s="604">
        <f t="shared" si="13"/>
        <v>0</v>
      </c>
      <c r="AJ56" s="153"/>
      <c r="AK56" s="612">
        <f t="shared" si="14"/>
        <v>0</v>
      </c>
      <c r="AL56" s="205"/>
      <c r="AM56" s="206"/>
      <c r="AN56" s="180"/>
      <c r="AO56" s="604">
        <f t="shared" si="3"/>
        <v>0</v>
      </c>
      <c r="AP56" s="607"/>
      <c r="AQ56" s="604">
        <f t="shared" si="15"/>
        <v>0</v>
      </c>
      <c r="AR56" s="153"/>
      <c r="AS56" s="612">
        <f t="shared" si="16"/>
        <v>0</v>
      </c>
      <c r="AT56" s="205"/>
      <c r="AU56" s="206"/>
      <c r="AV56" s="180"/>
      <c r="AW56" s="604">
        <f t="shared" si="4"/>
        <v>0</v>
      </c>
      <c r="AX56" s="609"/>
      <c r="AY56" s="604">
        <f t="shared" si="17"/>
        <v>0</v>
      </c>
      <c r="AZ56" s="153"/>
      <c r="BA56" s="612">
        <f t="shared" si="18"/>
        <v>0</v>
      </c>
      <c r="BB56" s="205"/>
      <c r="BC56" s="206"/>
      <c r="BD56" s="608"/>
      <c r="BE56" s="604">
        <f t="shared" si="5"/>
        <v>0</v>
      </c>
      <c r="BF56" s="153"/>
      <c r="BG56" s="604">
        <f t="shared" si="19"/>
        <v>0</v>
      </c>
      <c r="BH56" s="153"/>
      <c r="BI56" s="612">
        <f t="shared" si="20"/>
        <v>0</v>
      </c>
      <c r="BJ56" s="205"/>
      <c r="BK56" s="206"/>
      <c r="BL56" s="180"/>
      <c r="BM56" s="604">
        <f t="shared" si="6"/>
        <v>0</v>
      </c>
      <c r="BN56" s="609"/>
      <c r="BO56" s="604">
        <f t="shared" si="21"/>
        <v>0</v>
      </c>
      <c r="BP56" s="153"/>
      <c r="BQ56" s="612">
        <f t="shared" si="22"/>
        <v>0</v>
      </c>
      <c r="BR56" s="205"/>
      <c r="BS56" s="206"/>
      <c r="BT56" s="180"/>
      <c r="BU56" s="604">
        <f t="shared" si="7"/>
        <v>0</v>
      </c>
      <c r="BV56" s="609"/>
      <c r="BW56" s="604">
        <f t="shared" si="23"/>
        <v>0</v>
      </c>
    </row>
    <row r="57" spans="1:75" s="872" customFormat="1" ht="12.75" customHeight="1" thickBot="1">
      <c r="A57" s="147">
        <v>45</v>
      </c>
      <c r="B57" s="970">
        <f>IF(Efetivo!CJ59&gt;0,Efetivo!CJ12,0)</f>
        <v>0</v>
      </c>
      <c r="C57" s="600"/>
      <c r="D57" s="971">
        <f>IF(F57&gt;0,D13,0)</f>
        <v>0</v>
      </c>
      <c r="E57" s="600"/>
      <c r="F57" s="602">
        <f>ROUNDUP(IF(F62&gt;0,F62,0),0)</f>
        <v>0</v>
      </c>
      <c r="G57" s="179"/>
      <c r="H57" s="972">
        <f>IF(F57&gt;0,H13,0)</f>
        <v>0</v>
      </c>
      <c r="I57" s="973">
        <f>IF(F57&gt;0,I13,0)</f>
        <v>0</v>
      </c>
      <c r="J57" s="974">
        <f>IF(F57&gt;0,J13,0)</f>
        <v>0</v>
      </c>
      <c r="K57" s="180"/>
      <c r="L57" s="602">
        <f>IF(F57&gt;0,30,0)</f>
        <v>0</v>
      </c>
      <c r="M57" s="609"/>
      <c r="N57" s="601">
        <f t="shared" si="8"/>
        <v>0</v>
      </c>
      <c r="O57" s="608"/>
      <c r="P57" s="601">
        <f>IF(N57+Q57&lt;0,-N57,Q57)</f>
        <v>0</v>
      </c>
      <c r="Q57" s="908">
        <f t="shared" si="10"/>
        <v>0</v>
      </c>
      <c r="R57" s="601">
        <f t="shared" si="11"/>
        <v>0</v>
      </c>
      <c r="S57" s="609"/>
      <c r="T57" s="919">
        <f>L57</f>
        <v>0</v>
      </c>
      <c r="U57" s="181">
        <f>U13</f>
        <v>0</v>
      </c>
      <c r="V57" s="190">
        <f>IF(F57&gt;0,V13,0)</f>
        <v>0</v>
      </c>
      <c r="W57" s="192">
        <f>IF(F57&gt;0,W13,0)</f>
        <v>0</v>
      </c>
      <c r="X57" s="180"/>
      <c r="Y57" s="601">
        <f>-(V57*W57)</f>
        <v>0</v>
      </c>
      <c r="Z57" s="609"/>
      <c r="AA57" s="613">
        <f>((V57+Y57)*T57)*$F57</f>
        <v>0</v>
      </c>
      <c r="AB57" s="920"/>
      <c r="AC57" s="207">
        <f>(AC59-SUM(AC13:AC56))</f>
        <v>0</v>
      </c>
      <c r="AD57" s="207">
        <f>AD13</f>
        <v>0</v>
      </c>
      <c r="AE57" s="210">
        <f>AE13</f>
        <v>0</v>
      </c>
      <c r="AF57" s="211"/>
      <c r="AG57" s="208">
        <f t="shared" si="2"/>
        <v>0</v>
      </c>
      <c r="AH57" s="212"/>
      <c r="AI57" s="208">
        <f t="shared" si="13"/>
        <v>0</v>
      </c>
      <c r="AJ57" s="212"/>
      <c r="AK57" s="207">
        <f t="shared" si="14"/>
        <v>0</v>
      </c>
      <c r="AL57" s="207">
        <f>AL13</f>
        <v>0</v>
      </c>
      <c r="AM57" s="210">
        <f>AM13</f>
        <v>0</v>
      </c>
      <c r="AN57" s="211"/>
      <c r="AO57" s="208">
        <f t="shared" si="3"/>
        <v>0</v>
      </c>
      <c r="AP57" s="209"/>
      <c r="AQ57" s="208">
        <f t="shared" si="15"/>
        <v>0</v>
      </c>
      <c r="AR57" s="212"/>
      <c r="AS57" s="207">
        <f>(AS59-SUM(AS13:AS56))</f>
        <v>0</v>
      </c>
      <c r="AT57" s="207">
        <f>AT13</f>
        <v>0</v>
      </c>
      <c r="AU57" s="210">
        <f>AU13</f>
        <v>0</v>
      </c>
      <c r="AV57" s="211"/>
      <c r="AW57" s="208">
        <f t="shared" si="4"/>
        <v>0</v>
      </c>
      <c r="AX57" s="212"/>
      <c r="AY57" s="208">
        <f t="shared" si="17"/>
        <v>0</v>
      </c>
      <c r="AZ57" s="212"/>
      <c r="BA57" s="207">
        <f>(BA59-SUM(BA13:BA56))</f>
        <v>0</v>
      </c>
      <c r="BB57" s="207">
        <f>BB13</f>
        <v>0</v>
      </c>
      <c r="BC57" s="207">
        <f>BC13</f>
        <v>0</v>
      </c>
      <c r="BD57" s="211"/>
      <c r="BE57" s="208">
        <f>-(BB57*BC57)</f>
        <v>0</v>
      </c>
      <c r="BF57" s="212"/>
      <c r="BG57" s="208">
        <f>((BB57+BE57)*BA57)</f>
        <v>0</v>
      </c>
      <c r="BH57" s="212"/>
      <c r="BI57" s="207">
        <f>(BI59-SUM(BI13:BI56))</f>
        <v>0</v>
      </c>
      <c r="BJ57" s="207">
        <f>BJ13</f>
        <v>0</v>
      </c>
      <c r="BK57" s="210">
        <f>BK13</f>
        <v>0</v>
      </c>
      <c r="BL57" s="211"/>
      <c r="BM57" s="208">
        <f t="shared" si="6"/>
        <v>0</v>
      </c>
      <c r="BN57" s="212"/>
      <c r="BO57" s="208">
        <f t="shared" si="21"/>
        <v>0</v>
      </c>
      <c r="BP57" s="212"/>
      <c r="BQ57" s="207">
        <f>(BQ59-SUM(BQ13:BQ56))</f>
        <v>0</v>
      </c>
      <c r="BR57" s="207">
        <f>BR13</f>
        <v>0</v>
      </c>
      <c r="BS57" s="207">
        <f>BS13</f>
        <v>0</v>
      </c>
      <c r="BT57" s="211"/>
      <c r="BU57" s="208">
        <f t="shared" si="7"/>
        <v>0</v>
      </c>
      <c r="BV57" s="212"/>
      <c r="BW57" s="208">
        <f t="shared" si="23"/>
        <v>0</v>
      </c>
    </row>
    <row r="58" spans="1:75">
      <c r="AC58" s="198"/>
    </row>
    <row r="59" spans="1:75" ht="12" thickBot="1">
      <c r="D59" s="188" t="s">
        <v>44</v>
      </c>
      <c r="E59" s="153"/>
      <c r="F59" s="606">
        <f>Efetivo!E59+Efetivo!BA59</f>
        <v>20</v>
      </c>
      <c r="Q59" s="148"/>
      <c r="AA59" s="188" t="s">
        <v>44</v>
      </c>
      <c r="AB59" s="153"/>
      <c r="AC59" s="606">
        <f>ROUNDUP(SUM(AC13:AC56),0)</f>
        <v>20</v>
      </c>
      <c r="AI59" s="188" t="s">
        <v>44</v>
      </c>
      <c r="AJ59" s="153"/>
      <c r="AK59" s="606">
        <f>ROUNDUP(SUM(AK13:AK56),0)</f>
        <v>20</v>
      </c>
      <c r="AQ59" s="197" t="s">
        <v>44</v>
      </c>
      <c r="AR59" s="153"/>
      <c r="AS59" s="606">
        <f>ROUNDUP(SUM(AS13:AS56),0)</f>
        <v>20</v>
      </c>
      <c r="AY59" s="188" t="s">
        <v>44</v>
      </c>
      <c r="AZ59" s="153"/>
      <c r="BA59" s="606">
        <f>ROUNDUP(SUM(BA13:BA56),0)</f>
        <v>20</v>
      </c>
      <c r="BG59" s="188" t="s">
        <v>44</v>
      </c>
      <c r="BI59" s="606">
        <f>ROUNDUP(SUM(BI13:BI56),0)</f>
        <v>20</v>
      </c>
      <c r="BO59" s="188" t="s">
        <v>44</v>
      </c>
      <c r="BQ59" s="606">
        <f>ROUNDUP(SUM(BQ13:BQ56),0)</f>
        <v>20</v>
      </c>
    </row>
    <row r="61" spans="1:75" s="908" customFormat="1">
      <c r="F61" s="921">
        <f>ROUNDUP((SUM(F13:F56)),0)</f>
        <v>20</v>
      </c>
      <c r="T61" s="922"/>
      <c r="V61" s="921"/>
      <c r="W61" s="923"/>
      <c r="AD61" s="921"/>
      <c r="AE61" s="923"/>
      <c r="AL61" s="921"/>
      <c r="AM61" s="923"/>
      <c r="AT61" s="921"/>
      <c r="AU61" s="923"/>
      <c r="BB61" s="921"/>
      <c r="BC61" s="923"/>
      <c r="BJ61" s="921"/>
      <c r="BK61" s="923"/>
      <c r="BR61" s="921"/>
      <c r="BS61" s="923"/>
    </row>
    <row r="62" spans="1:75" s="908" customFormat="1">
      <c r="F62" s="921">
        <f>F59-F61</f>
        <v>0</v>
      </c>
      <c r="T62" s="922"/>
      <c r="V62" s="921"/>
      <c r="W62" s="923"/>
      <c r="AD62" s="921"/>
      <c r="AE62" s="923"/>
      <c r="AL62" s="921"/>
      <c r="AM62" s="923"/>
      <c r="AT62" s="921"/>
      <c r="AU62" s="923"/>
      <c r="BB62" s="921"/>
      <c r="BC62" s="923"/>
      <c r="BJ62" s="921"/>
      <c r="BK62" s="923"/>
      <c r="BR62" s="921"/>
      <c r="BS62" s="923"/>
    </row>
  </sheetData>
  <sheetProtection password="CADB" sheet="1" formatColumns="0" formatRows="0"/>
  <mergeCells count="9">
    <mergeCell ref="BQ5:BW5"/>
    <mergeCell ref="D5:E5"/>
    <mergeCell ref="H5:R5"/>
    <mergeCell ref="T5:AA5"/>
    <mergeCell ref="AC5:AI5"/>
    <mergeCell ref="AK5:AQ5"/>
    <mergeCell ref="AS5:AY5"/>
    <mergeCell ref="BA5:BG5"/>
    <mergeCell ref="BI5:BO5"/>
  </mergeCells>
  <phoneticPr fontId="0" type="noConversion"/>
  <hyperlinks>
    <hyperlink ref="M3" location="Menu!F10" tooltip="Volta ao menu principal" display="Menu"/>
    <hyperlink ref="R3" location="'Uniforme e EPI'!C16" tooltip="Uniforme e EPI" display="Próxima"/>
    <hyperlink ref="T5" location="Menu!F10" tooltip="Volta ao menu principal" display="Menu"/>
    <hyperlink ref="AB5" location="Menu!F10" tooltip="Volta ao menu principal" display="Menu"/>
  </hyperlinks>
  <pageMargins left="0.26" right="0.21" top="0.79" bottom="0.984251969" header="0.49212598499999999" footer="0.49212598499999999"/>
  <pageSetup paperSize="9" scale="59" orientation="landscape" blackAndWhite="1" horizontalDpi="300" verticalDpi="300" r:id="rId1"/>
  <headerFooter alignWithMargins="0">
    <oddFooter>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8"/>
    <pageSetUpPr autoPageBreaks="0"/>
  </sheetPr>
  <dimension ref="B1:K119"/>
  <sheetViews>
    <sheetView showGridLines="0" showZeros="0" tabSelected="1" zoomScaleNormal="100" workbookViewId="0">
      <pane ySplit="13" topLeftCell="A14" activePane="bottomLeft" state="frozen"/>
      <selection activeCell="B107" sqref="B107:M107"/>
      <selection pane="bottomLeft" activeCell="F16" sqref="F16:F29"/>
    </sheetView>
  </sheetViews>
  <sheetFormatPr defaultRowHeight="12.75"/>
  <cols>
    <col min="1" max="1" width="5.28515625" style="214" customWidth="1"/>
    <col min="2" max="2" width="2.5703125" style="213" customWidth="1"/>
    <col min="3" max="3" width="29.5703125" style="214" customWidth="1"/>
    <col min="4" max="4" width="11" style="215" customWidth="1"/>
    <col min="5" max="5" width="11.5703125" style="214" customWidth="1"/>
    <col min="6" max="6" width="10.42578125" style="214" customWidth="1"/>
    <col min="7" max="7" width="1.85546875" style="214" customWidth="1"/>
    <col min="8" max="8" width="11" style="214" customWidth="1"/>
    <col min="9" max="9" width="2" style="214" customWidth="1"/>
    <col min="10" max="10" width="11" style="214" customWidth="1"/>
    <col min="11" max="11" width="1" style="214" customWidth="1"/>
    <col min="12" max="16384" width="9.140625" style="214"/>
  </cols>
  <sheetData>
    <row r="1" spans="2:11" ht="6" customHeight="1"/>
    <row r="2" spans="2:11" ht="16.5" customHeight="1">
      <c r="D2" s="214"/>
    </row>
    <row r="3" spans="2:11" ht="6" customHeight="1"/>
    <row r="4" spans="2:11" ht="18" customHeight="1" thickBot="1">
      <c r="C4" s="1064" t="s">
        <v>489</v>
      </c>
      <c r="D4" s="1065"/>
      <c r="E4" s="1065"/>
      <c r="F4" s="1065"/>
      <c r="G4" s="1065"/>
      <c r="H4" s="1065"/>
      <c r="I4" s="1065"/>
      <c r="J4" s="1066"/>
    </row>
    <row r="5" spans="2:11" s="217" customFormat="1" ht="7.5" customHeight="1">
      <c r="B5" s="216"/>
      <c r="D5" s="182"/>
      <c r="E5" s="218"/>
      <c r="F5" s="218"/>
      <c r="G5" s="218"/>
      <c r="H5" s="218"/>
    </row>
    <row r="6" spans="2:11" ht="9" customHeight="1">
      <c r="C6" s="1063" t="s">
        <v>462</v>
      </c>
      <c r="D6" s="1071">
        <v>12</v>
      </c>
      <c r="E6" s="1062" t="s">
        <v>463</v>
      </c>
      <c r="F6" s="1063"/>
      <c r="G6" s="1058">
        <f>Benefícios!AC59</f>
        <v>20</v>
      </c>
      <c r="H6" s="1059"/>
      <c r="I6" s="220"/>
    </row>
    <row r="7" spans="2:11" ht="10.5" customHeight="1" thickBot="1">
      <c r="C7" s="1063"/>
      <c r="D7" s="1072"/>
      <c r="E7" s="1062"/>
      <c r="F7" s="1063"/>
      <c r="G7" s="1060"/>
      <c r="H7" s="1061"/>
      <c r="I7" s="220"/>
      <c r="J7" s="220"/>
    </row>
    <row r="8" spans="2:11" ht="17.25" customHeight="1">
      <c r="D8" s="880" t="s">
        <v>572</v>
      </c>
      <c r="E8" s="220"/>
      <c r="F8" s="220"/>
      <c r="G8" s="220"/>
      <c r="H8" s="254" t="s">
        <v>82</v>
      </c>
      <c r="I8" s="221"/>
      <c r="J8" s="1067">
        <f>TRUNC((SUM(J16:J75)),2)</f>
        <v>0</v>
      </c>
      <c r="K8" s="1068"/>
    </row>
    <row r="9" spans="2:11" ht="3.75" customHeight="1" thickBot="1">
      <c r="D9" s="219"/>
      <c r="E9" s="220"/>
      <c r="F9" s="220"/>
      <c r="G9" s="220"/>
      <c r="H9" s="222"/>
      <c r="I9" s="221"/>
      <c r="J9" s="1069"/>
      <c r="K9" s="1070"/>
    </row>
    <row r="10" spans="2:11" s="225" customFormat="1" ht="9.75" customHeight="1">
      <c r="B10" s="224"/>
      <c r="C10" s="255">
        <v>1</v>
      </c>
      <c r="D10" s="255">
        <v>2</v>
      </c>
      <c r="E10" s="255">
        <v>3</v>
      </c>
      <c r="F10" s="255">
        <v>4</v>
      </c>
      <c r="G10" s="256"/>
      <c r="H10" s="255">
        <v>5</v>
      </c>
      <c r="I10" s="256"/>
      <c r="J10" s="255">
        <v>6</v>
      </c>
    </row>
    <row r="11" spans="2:11" s="229" customFormat="1" ht="25.5" customHeight="1" thickBot="1">
      <c r="B11" s="226"/>
      <c r="C11" s="249" t="s">
        <v>87</v>
      </c>
      <c r="D11" s="250" t="s">
        <v>88</v>
      </c>
      <c r="E11" s="249" t="s">
        <v>238</v>
      </c>
      <c r="F11" s="249" t="s">
        <v>80</v>
      </c>
      <c r="G11" s="251"/>
      <c r="H11" s="249" t="s">
        <v>12</v>
      </c>
      <c r="I11" s="252"/>
      <c r="J11" s="253" t="s">
        <v>82</v>
      </c>
    </row>
    <row r="12" spans="2:11" s="229" customFormat="1" ht="2.25" customHeight="1">
      <c r="B12" s="226"/>
      <c r="C12" s="230"/>
      <c r="D12" s="231"/>
      <c r="E12" s="230"/>
      <c r="F12" s="230"/>
      <c r="G12" s="227"/>
      <c r="H12" s="230"/>
      <c r="I12" s="228"/>
      <c r="J12" s="230"/>
    </row>
    <row r="13" spans="2:11" s="229" customFormat="1" ht="2.25" customHeight="1">
      <c r="B13" s="226"/>
      <c r="C13" s="230"/>
      <c r="D13" s="231"/>
      <c r="E13" s="230"/>
      <c r="F13" s="230"/>
      <c r="G13" s="227"/>
      <c r="H13" s="230"/>
      <c r="I13" s="228"/>
      <c r="J13" s="230"/>
    </row>
    <row r="14" spans="2:11" s="229" customFormat="1" ht="5.25" customHeight="1">
      <c r="B14" s="226"/>
      <c r="C14" s="230"/>
      <c r="D14" s="231"/>
      <c r="E14" s="230"/>
      <c r="F14" s="230"/>
      <c r="G14" s="227"/>
      <c r="H14" s="230"/>
      <c r="I14" s="228"/>
      <c r="J14" s="230"/>
    </row>
    <row r="15" spans="2:11" ht="6.75" customHeight="1">
      <c r="C15" s="232"/>
      <c r="D15" s="233"/>
      <c r="E15" s="234"/>
      <c r="F15" s="235"/>
      <c r="G15" s="235"/>
      <c r="H15" s="236"/>
      <c r="I15" s="236"/>
      <c r="J15" s="236"/>
    </row>
    <row r="16" spans="2:11">
      <c r="B16" s="213">
        <v>1</v>
      </c>
      <c r="C16" s="241" t="s">
        <v>635</v>
      </c>
      <c r="D16" s="242">
        <v>43</v>
      </c>
      <c r="E16" s="242">
        <v>2</v>
      </c>
      <c r="F16" s="243"/>
      <c r="G16" s="237"/>
      <c r="H16" s="614">
        <f t="shared" ref="H16:H47" si="0">F16*E16</f>
        <v>0</v>
      </c>
      <c r="I16" s="615"/>
      <c r="J16" s="614">
        <f>IF(D16&gt;0,(H16*D16)/$D$6,0)</f>
        <v>0</v>
      </c>
    </row>
    <row r="17" spans="2:10">
      <c r="B17" s="213">
        <v>2</v>
      </c>
      <c r="C17" s="241" t="s">
        <v>636</v>
      </c>
      <c r="D17" s="242">
        <v>43</v>
      </c>
      <c r="E17" s="242">
        <v>2</v>
      </c>
      <c r="F17" s="243"/>
      <c r="G17" s="237"/>
      <c r="H17" s="614">
        <f t="shared" si="0"/>
        <v>0</v>
      </c>
      <c r="I17" s="615"/>
      <c r="J17" s="614">
        <f t="shared" ref="J17:J75" si="1">IF(D17&gt;0,(H17*D17)/$D$6,0)</f>
        <v>0</v>
      </c>
    </row>
    <row r="18" spans="2:10">
      <c r="B18" s="213">
        <v>3</v>
      </c>
      <c r="C18" s="241" t="s">
        <v>637</v>
      </c>
      <c r="D18" s="242">
        <f>D17</f>
        <v>43</v>
      </c>
      <c r="E18" s="242">
        <v>1</v>
      </c>
      <c r="F18" s="243"/>
      <c r="G18" s="237"/>
      <c r="H18" s="614">
        <f t="shared" si="0"/>
        <v>0</v>
      </c>
      <c r="I18" s="615"/>
      <c r="J18" s="614">
        <f t="shared" si="1"/>
        <v>0</v>
      </c>
    </row>
    <row r="19" spans="2:10">
      <c r="B19" s="213">
        <v>4</v>
      </c>
      <c r="C19" s="241" t="s">
        <v>648</v>
      </c>
      <c r="D19" s="242">
        <v>39</v>
      </c>
      <c r="E19" s="242">
        <v>2</v>
      </c>
      <c r="F19" s="243"/>
      <c r="G19" s="237"/>
      <c r="H19" s="614">
        <f t="shared" si="0"/>
        <v>0</v>
      </c>
      <c r="I19" s="615"/>
      <c r="J19" s="614">
        <f t="shared" si="1"/>
        <v>0</v>
      </c>
    </row>
    <row r="20" spans="2:10">
      <c r="B20" s="213">
        <v>5</v>
      </c>
      <c r="C20" s="241" t="s">
        <v>638</v>
      </c>
      <c r="D20" s="242">
        <v>43</v>
      </c>
      <c r="E20" s="242">
        <v>2</v>
      </c>
      <c r="F20" s="243"/>
      <c r="G20" s="237"/>
      <c r="H20" s="614">
        <f t="shared" si="0"/>
        <v>0</v>
      </c>
      <c r="I20" s="615"/>
      <c r="J20" s="614">
        <f t="shared" si="1"/>
        <v>0</v>
      </c>
    </row>
    <row r="21" spans="2:10">
      <c r="B21" s="213">
        <v>6</v>
      </c>
      <c r="C21" s="241" t="s">
        <v>639</v>
      </c>
      <c r="D21" s="242">
        <v>43</v>
      </c>
      <c r="E21" s="242">
        <v>2</v>
      </c>
      <c r="F21" s="243"/>
      <c r="G21" s="237"/>
      <c r="H21" s="614">
        <f t="shared" si="0"/>
        <v>0</v>
      </c>
      <c r="I21" s="615"/>
      <c r="J21" s="614">
        <f t="shared" si="1"/>
        <v>0</v>
      </c>
    </row>
    <row r="22" spans="2:10">
      <c r="B22" s="213">
        <v>7</v>
      </c>
      <c r="C22" s="241" t="s">
        <v>640</v>
      </c>
      <c r="D22" s="242">
        <v>4</v>
      </c>
      <c r="E22" s="242">
        <v>2</v>
      </c>
      <c r="F22" s="243"/>
      <c r="G22" s="237"/>
      <c r="H22" s="614">
        <f t="shared" si="0"/>
        <v>0</v>
      </c>
      <c r="I22" s="615"/>
      <c r="J22" s="614">
        <f t="shared" si="1"/>
        <v>0</v>
      </c>
    </row>
    <row r="23" spans="2:10">
      <c r="B23" s="213">
        <v>8</v>
      </c>
      <c r="C23" s="241" t="s">
        <v>641</v>
      </c>
      <c r="D23" s="242">
        <v>43</v>
      </c>
      <c r="E23" s="242">
        <v>2</v>
      </c>
      <c r="F23" s="243"/>
      <c r="G23" s="237"/>
      <c r="H23" s="614">
        <f t="shared" si="0"/>
        <v>0</v>
      </c>
      <c r="I23" s="615"/>
      <c r="J23" s="614">
        <f t="shared" si="1"/>
        <v>0</v>
      </c>
    </row>
    <row r="24" spans="2:10">
      <c r="B24" s="213">
        <v>9</v>
      </c>
      <c r="C24" s="241" t="s">
        <v>642</v>
      </c>
      <c r="D24" s="242">
        <v>43</v>
      </c>
      <c r="E24" s="242">
        <v>1</v>
      </c>
      <c r="F24" s="243"/>
      <c r="G24" s="237"/>
      <c r="H24" s="614">
        <f t="shared" si="0"/>
        <v>0</v>
      </c>
      <c r="I24" s="615"/>
      <c r="J24" s="614">
        <f t="shared" si="1"/>
        <v>0</v>
      </c>
    </row>
    <row r="25" spans="2:10" ht="25.5">
      <c r="B25" s="213">
        <v>10</v>
      </c>
      <c r="C25" s="241" t="s">
        <v>643</v>
      </c>
      <c r="D25" s="242">
        <v>43</v>
      </c>
      <c r="E25" s="242">
        <v>2</v>
      </c>
      <c r="F25" s="243"/>
      <c r="G25" s="237"/>
      <c r="H25" s="614">
        <f t="shared" si="0"/>
        <v>0</v>
      </c>
      <c r="I25" s="615"/>
      <c r="J25" s="614">
        <f t="shared" si="1"/>
        <v>0</v>
      </c>
    </row>
    <row r="26" spans="2:10">
      <c r="B26" s="213">
        <v>11</v>
      </c>
      <c r="C26" s="241" t="s">
        <v>644</v>
      </c>
      <c r="D26" s="242">
        <v>10</v>
      </c>
      <c r="E26" s="242">
        <v>1</v>
      </c>
      <c r="F26" s="243"/>
      <c r="G26" s="237"/>
      <c r="H26" s="614">
        <f t="shared" si="0"/>
        <v>0</v>
      </c>
      <c r="I26" s="615"/>
      <c r="J26" s="614">
        <f t="shared" si="1"/>
        <v>0</v>
      </c>
    </row>
    <row r="27" spans="2:10">
      <c r="B27" s="213">
        <v>12</v>
      </c>
      <c r="C27" s="241" t="s">
        <v>645</v>
      </c>
      <c r="D27" s="242">
        <v>10</v>
      </c>
      <c r="E27" s="242">
        <v>1</v>
      </c>
      <c r="F27" s="243"/>
      <c r="G27" s="237"/>
      <c r="H27" s="614">
        <f t="shared" si="0"/>
        <v>0</v>
      </c>
      <c r="I27" s="615"/>
      <c r="J27" s="614">
        <f t="shared" si="1"/>
        <v>0</v>
      </c>
    </row>
    <row r="28" spans="2:10">
      <c r="B28" s="213">
        <v>13</v>
      </c>
      <c r="C28" s="241" t="s">
        <v>646</v>
      </c>
      <c r="D28" s="242">
        <v>10</v>
      </c>
      <c r="E28" s="242">
        <v>1</v>
      </c>
      <c r="F28" s="243"/>
      <c r="G28" s="237"/>
      <c r="H28" s="614">
        <f t="shared" si="0"/>
        <v>0</v>
      </c>
      <c r="I28" s="615"/>
      <c r="J28" s="614">
        <f t="shared" si="1"/>
        <v>0</v>
      </c>
    </row>
    <row r="29" spans="2:10">
      <c r="B29" s="213">
        <v>14</v>
      </c>
      <c r="C29" s="241" t="s">
        <v>647</v>
      </c>
      <c r="D29" s="242">
        <v>10</v>
      </c>
      <c r="E29" s="242">
        <v>1</v>
      </c>
      <c r="F29" s="243"/>
      <c r="G29" s="237"/>
      <c r="H29" s="614">
        <f t="shared" si="0"/>
        <v>0</v>
      </c>
      <c r="I29" s="615"/>
      <c r="J29" s="614">
        <f t="shared" si="1"/>
        <v>0</v>
      </c>
    </row>
    <row r="30" spans="2:10" ht="12" customHeight="1">
      <c r="B30" s="213">
        <v>15</v>
      </c>
      <c r="C30" s="241"/>
      <c r="D30" s="242"/>
      <c r="E30" s="242"/>
      <c r="F30" s="243"/>
      <c r="G30" s="237"/>
      <c r="H30" s="614">
        <f t="shared" si="0"/>
        <v>0</v>
      </c>
      <c r="I30" s="615"/>
      <c r="J30" s="614">
        <f t="shared" si="1"/>
        <v>0</v>
      </c>
    </row>
    <row r="31" spans="2:10" hidden="1">
      <c r="B31" s="213">
        <v>16</v>
      </c>
      <c r="C31" s="241"/>
      <c r="D31" s="242"/>
      <c r="E31" s="242"/>
      <c r="F31" s="243"/>
      <c r="G31" s="237"/>
      <c r="H31" s="614">
        <f t="shared" si="0"/>
        <v>0</v>
      </c>
      <c r="I31" s="615"/>
      <c r="J31" s="614">
        <f t="shared" si="1"/>
        <v>0</v>
      </c>
    </row>
    <row r="32" spans="2:10" hidden="1">
      <c r="B32" s="213">
        <v>17</v>
      </c>
      <c r="C32" s="241"/>
      <c r="D32" s="242"/>
      <c r="E32" s="242"/>
      <c r="F32" s="243"/>
      <c r="G32" s="237"/>
      <c r="H32" s="614">
        <f t="shared" si="0"/>
        <v>0</v>
      </c>
      <c r="I32" s="615"/>
      <c r="J32" s="614">
        <f t="shared" si="1"/>
        <v>0</v>
      </c>
    </row>
    <row r="33" spans="2:10" hidden="1">
      <c r="B33" s="213">
        <v>18</v>
      </c>
      <c r="C33" s="241"/>
      <c r="D33" s="242"/>
      <c r="E33" s="242"/>
      <c r="F33" s="243"/>
      <c r="G33" s="237"/>
      <c r="H33" s="614">
        <f t="shared" si="0"/>
        <v>0</v>
      </c>
      <c r="I33" s="615"/>
      <c r="J33" s="614">
        <f t="shared" si="1"/>
        <v>0</v>
      </c>
    </row>
    <row r="34" spans="2:10" hidden="1">
      <c r="B34" s="213">
        <v>19</v>
      </c>
      <c r="C34" s="241"/>
      <c r="D34" s="244"/>
      <c r="E34" s="244"/>
      <c r="F34" s="245"/>
      <c r="G34" s="237"/>
      <c r="H34" s="614">
        <f t="shared" si="0"/>
        <v>0</v>
      </c>
      <c r="I34" s="615"/>
      <c r="J34" s="614">
        <f t="shared" si="1"/>
        <v>0</v>
      </c>
    </row>
    <row r="35" spans="2:10" hidden="1">
      <c r="B35" s="213">
        <v>20</v>
      </c>
      <c r="C35" s="241"/>
      <c r="D35" s="244"/>
      <c r="E35" s="244"/>
      <c r="F35" s="245"/>
      <c r="G35" s="237"/>
      <c r="H35" s="614">
        <f t="shared" si="0"/>
        <v>0</v>
      </c>
      <c r="I35" s="615"/>
      <c r="J35" s="614">
        <f t="shared" si="1"/>
        <v>0</v>
      </c>
    </row>
    <row r="36" spans="2:10" hidden="1">
      <c r="B36" s="213">
        <v>21</v>
      </c>
      <c r="C36" s="241"/>
      <c r="D36" s="244"/>
      <c r="E36" s="244"/>
      <c r="F36" s="245"/>
      <c r="G36" s="237"/>
      <c r="H36" s="614">
        <f t="shared" si="0"/>
        <v>0</v>
      </c>
      <c r="I36" s="615"/>
      <c r="J36" s="614">
        <f t="shared" si="1"/>
        <v>0</v>
      </c>
    </row>
    <row r="37" spans="2:10" hidden="1">
      <c r="B37" s="213">
        <v>22</v>
      </c>
      <c r="C37" s="241"/>
      <c r="D37" s="244"/>
      <c r="E37" s="244"/>
      <c r="F37" s="245"/>
      <c r="G37" s="237"/>
      <c r="H37" s="614">
        <f t="shared" si="0"/>
        <v>0</v>
      </c>
      <c r="I37" s="615"/>
      <c r="J37" s="614">
        <f t="shared" si="1"/>
        <v>0</v>
      </c>
    </row>
    <row r="38" spans="2:10" hidden="1">
      <c r="B38" s="213">
        <v>23</v>
      </c>
      <c r="C38" s="241"/>
      <c r="D38" s="244"/>
      <c r="E38" s="244"/>
      <c r="F38" s="245"/>
      <c r="G38" s="237"/>
      <c r="H38" s="614">
        <f t="shared" si="0"/>
        <v>0</v>
      </c>
      <c r="I38" s="615"/>
      <c r="J38" s="614">
        <f t="shared" si="1"/>
        <v>0</v>
      </c>
    </row>
    <row r="39" spans="2:10" hidden="1">
      <c r="B39" s="213">
        <v>24</v>
      </c>
      <c r="C39" s="241"/>
      <c r="D39" s="244"/>
      <c r="E39" s="244"/>
      <c r="F39" s="245"/>
      <c r="G39" s="237"/>
      <c r="H39" s="614">
        <f t="shared" si="0"/>
        <v>0</v>
      </c>
      <c r="I39" s="615"/>
      <c r="J39" s="614">
        <f t="shared" si="1"/>
        <v>0</v>
      </c>
    </row>
    <row r="40" spans="2:10" hidden="1">
      <c r="B40" s="213">
        <v>25</v>
      </c>
      <c r="C40" s="241"/>
      <c r="D40" s="244"/>
      <c r="E40" s="244"/>
      <c r="F40" s="245"/>
      <c r="G40" s="237"/>
      <c r="H40" s="614">
        <f t="shared" si="0"/>
        <v>0</v>
      </c>
      <c r="I40" s="615"/>
      <c r="J40" s="614">
        <f t="shared" si="1"/>
        <v>0</v>
      </c>
    </row>
    <row r="41" spans="2:10" hidden="1">
      <c r="B41" s="213">
        <v>26</v>
      </c>
      <c r="C41" s="241"/>
      <c r="D41" s="244"/>
      <c r="E41" s="244"/>
      <c r="F41" s="245"/>
      <c r="G41" s="237"/>
      <c r="H41" s="614">
        <f t="shared" si="0"/>
        <v>0</v>
      </c>
      <c r="I41" s="615"/>
      <c r="J41" s="614">
        <f t="shared" si="1"/>
        <v>0</v>
      </c>
    </row>
    <row r="42" spans="2:10" hidden="1">
      <c r="B42" s="213">
        <v>27</v>
      </c>
      <c r="C42" s="241"/>
      <c r="D42" s="244"/>
      <c r="E42" s="244"/>
      <c r="F42" s="245"/>
      <c r="G42" s="237"/>
      <c r="H42" s="614">
        <f t="shared" si="0"/>
        <v>0</v>
      </c>
      <c r="I42" s="615"/>
      <c r="J42" s="614">
        <f t="shared" si="1"/>
        <v>0</v>
      </c>
    </row>
    <row r="43" spans="2:10" hidden="1">
      <c r="B43" s="213">
        <v>28</v>
      </c>
      <c r="C43" s="241"/>
      <c r="D43" s="244"/>
      <c r="E43" s="244"/>
      <c r="F43" s="245"/>
      <c r="G43" s="237"/>
      <c r="H43" s="614">
        <f t="shared" si="0"/>
        <v>0</v>
      </c>
      <c r="I43" s="615"/>
      <c r="J43" s="614">
        <f t="shared" si="1"/>
        <v>0</v>
      </c>
    </row>
    <row r="44" spans="2:10" hidden="1">
      <c r="B44" s="213">
        <v>29</v>
      </c>
      <c r="C44" s="241"/>
      <c r="D44" s="244"/>
      <c r="E44" s="244"/>
      <c r="F44" s="245"/>
      <c r="G44" s="237"/>
      <c r="H44" s="614">
        <f t="shared" si="0"/>
        <v>0</v>
      </c>
      <c r="I44" s="615"/>
      <c r="J44" s="614">
        <f t="shared" si="1"/>
        <v>0</v>
      </c>
    </row>
    <row r="45" spans="2:10" hidden="1">
      <c r="B45" s="213">
        <v>30</v>
      </c>
      <c r="C45" s="241"/>
      <c r="D45" s="244"/>
      <c r="E45" s="244"/>
      <c r="F45" s="245"/>
      <c r="G45" s="237"/>
      <c r="H45" s="614">
        <f t="shared" si="0"/>
        <v>0</v>
      </c>
      <c r="I45" s="615"/>
      <c r="J45" s="614">
        <f t="shared" si="1"/>
        <v>0</v>
      </c>
    </row>
    <row r="46" spans="2:10" hidden="1">
      <c r="B46" s="213">
        <v>31</v>
      </c>
      <c r="C46" s="241"/>
      <c r="D46" s="244"/>
      <c r="E46" s="244"/>
      <c r="F46" s="245"/>
      <c r="G46" s="237"/>
      <c r="H46" s="614">
        <f t="shared" si="0"/>
        <v>0</v>
      </c>
      <c r="I46" s="615"/>
      <c r="J46" s="614">
        <f t="shared" si="1"/>
        <v>0</v>
      </c>
    </row>
    <row r="47" spans="2:10" hidden="1">
      <c r="B47" s="213">
        <v>32</v>
      </c>
      <c r="C47" s="241"/>
      <c r="D47" s="244"/>
      <c r="E47" s="244"/>
      <c r="F47" s="245"/>
      <c r="G47" s="237"/>
      <c r="H47" s="614">
        <f t="shared" si="0"/>
        <v>0</v>
      </c>
      <c r="I47" s="615"/>
      <c r="J47" s="614">
        <f t="shared" si="1"/>
        <v>0</v>
      </c>
    </row>
    <row r="48" spans="2:10" hidden="1">
      <c r="B48" s="213">
        <v>33</v>
      </c>
      <c r="C48" s="241"/>
      <c r="D48" s="244"/>
      <c r="E48" s="244"/>
      <c r="F48" s="245"/>
      <c r="G48" s="237"/>
      <c r="H48" s="614">
        <f t="shared" ref="H48:H75" si="2">F48*E48</f>
        <v>0</v>
      </c>
      <c r="I48" s="615"/>
      <c r="J48" s="614">
        <f t="shared" si="1"/>
        <v>0</v>
      </c>
    </row>
    <row r="49" spans="2:10" hidden="1">
      <c r="B49" s="213">
        <v>34</v>
      </c>
      <c r="C49" s="241"/>
      <c r="D49" s="244"/>
      <c r="E49" s="244"/>
      <c r="F49" s="245"/>
      <c r="G49" s="237"/>
      <c r="H49" s="614">
        <f t="shared" si="2"/>
        <v>0</v>
      </c>
      <c r="I49" s="615"/>
      <c r="J49" s="614">
        <f t="shared" si="1"/>
        <v>0</v>
      </c>
    </row>
    <row r="50" spans="2:10" hidden="1">
      <c r="B50" s="213">
        <v>35</v>
      </c>
      <c r="C50" s="241"/>
      <c r="D50" s="244"/>
      <c r="E50" s="244"/>
      <c r="F50" s="245"/>
      <c r="G50" s="237"/>
      <c r="H50" s="614">
        <f t="shared" si="2"/>
        <v>0</v>
      </c>
      <c r="I50" s="615"/>
      <c r="J50" s="614">
        <f t="shared" si="1"/>
        <v>0</v>
      </c>
    </row>
    <row r="51" spans="2:10" hidden="1">
      <c r="B51" s="213">
        <v>36</v>
      </c>
      <c r="C51" s="241"/>
      <c r="D51" s="244"/>
      <c r="E51" s="244"/>
      <c r="F51" s="245"/>
      <c r="G51" s="237"/>
      <c r="H51" s="614">
        <f t="shared" si="2"/>
        <v>0</v>
      </c>
      <c r="I51" s="615"/>
      <c r="J51" s="614">
        <f t="shared" si="1"/>
        <v>0</v>
      </c>
    </row>
    <row r="52" spans="2:10" hidden="1">
      <c r="B52" s="213">
        <v>37</v>
      </c>
      <c r="C52" s="241"/>
      <c r="D52" s="244"/>
      <c r="E52" s="244"/>
      <c r="F52" s="245"/>
      <c r="G52" s="237"/>
      <c r="H52" s="614">
        <f t="shared" si="2"/>
        <v>0</v>
      </c>
      <c r="I52" s="615"/>
      <c r="J52" s="614">
        <f t="shared" si="1"/>
        <v>0</v>
      </c>
    </row>
    <row r="53" spans="2:10" hidden="1">
      <c r="B53" s="213">
        <v>38</v>
      </c>
      <c r="C53" s="241"/>
      <c r="D53" s="244"/>
      <c r="E53" s="244"/>
      <c r="F53" s="245"/>
      <c r="G53" s="237"/>
      <c r="H53" s="614">
        <f t="shared" si="2"/>
        <v>0</v>
      </c>
      <c r="I53" s="615"/>
      <c r="J53" s="614">
        <f t="shared" si="1"/>
        <v>0</v>
      </c>
    </row>
    <row r="54" spans="2:10" hidden="1">
      <c r="B54" s="213">
        <v>39</v>
      </c>
      <c r="C54" s="241"/>
      <c r="D54" s="244"/>
      <c r="E54" s="244"/>
      <c r="F54" s="245"/>
      <c r="G54" s="237"/>
      <c r="H54" s="614">
        <f t="shared" si="2"/>
        <v>0</v>
      </c>
      <c r="I54" s="615"/>
      <c r="J54" s="614">
        <f t="shared" si="1"/>
        <v>0</v>
      </c>
    </row>
    <row r="55" spans="2:10" hidden="1">
      <c r="B55" s="213">
        <v>40</v>
      </c>
      <c r="C55" s="241"/>
      <c r="D55" s="244"/>
      <c r="E55" s="244"/>
      <c r="F55" s="245"/>
      <c r="G55" s="237"/>
      <c r="H55" s="614">
        <f t="shared" si="2"/>
        <v>0</v>
      </c>
      <c r="I55" s="615"/>
      <c r="J55" s="614">
        <f t="shared" si="1"/>
        <v>0</v>
      </c>
    </row>
    <row r="56" spans="2:10" hidden="1">
      <c r="B56" s="213">
        <v>41</v>
      </c>
      <c r="C56" s="241"/>
      <c r="D56" s="244"/>
      <c r="E56" s="244"/>
      <c r="F56" s="245"/>
      <c r="G56" s="237"/>
      <c r="H56" s="614">
        <f t="shared" si="2"/>
        <v>0</v>
      </c>
      <c r="I56" s="615"/>
      <c r="J56" s="614">
        <f t="shared" si="1"/>
        <v>0</v>
      </c>
    </row>
    <row r="57" spans="2:10" hidden="1">
      <c r="B57" s="213">
        <v>42</v>
      </c>
      <c r="C57" s="241"/>
      <c r="D57" s="244"/>
      <c r="E57" s="244"/>
      <c r="F57" s="245"/>
      <c r="G57" s="237"/>
      <c r="H57" s="614">
        <f t="shared" si="2"/>
        <v>0</v>
      </c>
      <c r="I57" s="615"/>
      <c r="J57" s="614">
        <f t="shared" si="1"/>
        <v>0</v>
      </c>
    </row>
    <row r="58" spans="2:10" hidden="1">
      <c r="B58" s="213">
        <v>43</v>
      </c>
      <c r="C58" s="241"/>
      <c r="D58" s="244"/>
      <c r="E58" s="244"/>
      <c r="F58" s="245"/>
      <c r="G58" s="237"/>
      <c r="H58" s="614">
        <f t="shared" si="2"/>
        <v>0</v>
      </c>
      <c r="I58" s="615"/>
      <c r="J58" s="614">
        <f t="shared" si="1"/>
        <v>0</v>
      </c>
    </row>
    <row r="59" spans="2:10" hidden="1">
      <c r="B59" s="213">
        <v>44</v>
      </c>
      <c r="C59" s="241"/>
      <c r="D59" s="244"/>
      <c r="E59" s="244"/>
      <c r="F59" s="245"/>
      <c r="G59" s="237"/>
      <c r="H59" s="614">
        <f t="shared" si="2"/>
        <v>0</v>
      </c>
      <c r="I59" s="615"/>
      <c r="J59" s="614">
        <f t="shared" si="1"/>
        <v>0</v>
      </c>
    </row>
    <row r="60" spans="2:10" hidden="1">
      <c r="B60" s="213">
        <v>45</v>
      </c>
      <c r="C60" s="241"/>
      <c r="D60" s="244"/>
      <c r="E60" s="244"/>
      <c r="F60" s="245"/>
      <c r="G60" s="237"/>
      <c r="H60" s="614">
        <f t="shared" si="2"/>
        <v>0</v>
      </c>
      <c r="I60" s="615"/>
      <c r="J60" s="614">
        <f t="shared" si="1"/>
        <v>0</v>
      </c>
    </row>
    <row r="61" spans="2:10" hidden="1">
      <c r="B61" s="213">
        <v>46</v>
      </c>
      <c r="C61" s="241"/>
      <c r="D61" s="244"/>
      <c r="E61" s="244"/>
      <c r="F61" s="245"/>
      <c r="G61" s="237"/>
      <c r="H61" s="614">
        <f t="shared" si="2"/>
        <v>0</v>
      </c>
      <c r="I61" s="615"/>
      <c r="J61" s="614">
        <f t="shared" si="1"/>
        <v>0</v>
      </c>
    </row>
    <row r="62" spans="2:10" hidden="1">
      <c r="B62" s="213">
        <v>47</v>
      </c>
      <c r="C62" s="241"/>
      <c r="D62" s="244"/>
      <c r="E62" s="244"/>
      <c r="F62" s="245"/>
      <c r="G62" s="237"/>
      <c r="H62" s="614">
        <f t="shared" si="2"/>
        <v>0</v>
      </c>
      <c r="I62" s="615"/>
      <c r="J62" s="614">
        <f t="shared" si="1"/>
        <v>0</v>
      </c>
    </row>
    <row r="63" spans="2:10" hidden="1">
      <c r="B63" s="213">
        <v>48</v>
      </c>
      <c r="C63" s="241"/>
      <c r="D63" s="244"/>
      <c r="E63" s="244"/>
      <c r="F63" s="245"/>
      <c r="G63" s="237"/>
      <c r="H63" s="614">
        <f t="shared" si="2"/>
        <v>0</v>
      </c>
      <c r="I63" s="615"/>
      <c r="J63" s="614">
        <f t="shared" si="1"/>
        <v>0</v>
      </c>
    </row>
    <row r="64" spans="2:10" hidden="1">
      <c r="B64" s="213">
        <v>49</v>
      </c>
      <c r="C64" s="241"/>
      <c r="D64" s="244"/>
      <c r="E64" s="244"/>
      <c r="F64" s="245"/>
      <c r="G64" s="237"/>
      <c r="H64" s="614">
        <f t="shared" si="2"/>
        <v>0</v>
      </c>
      <c r="I64" s="615"/>
      <c r="J64" s="614">
        <f t="shared" si="1"/>
        <v>0</v>
      </c>
    </row>
    <row r="65" spans="2:10" hidden="1">
      <c r="B65" s="213">
        <v>50</v>
      </c>
      <c r="C65" s="241"/>
      <c r="D65" s="244"/>
      <c r="E65" s="244"/>
      <c r="F65" s="245"/>
      <c r="G65" s="237"/>
      <c r="H65" s="614">
        <f t="shared" si="2"/>
        <v>0</v>
      </c>
      <c r="I65" s="615"/>
      <c r="J65" s="614">
        <f t="shared" si="1"/>
        <v>0</v>
      </c>
    </row>
    <row r="66" spans="2:10" hidden="1">
      <c r="B66" s="213">
        <v>51</v>
      </c>
      <c r="C66" s="241"/>
      <c r="D66" s="244"/>
      <c r="E66" s="244"/>
      <c r="F66" s="245"/>
      <c r="G66" s="237"/>
      <c r="H66" s="614">
        <f t="shared" si="2"/>
        <v>0</v>
      </c>
      <c r="I66" s="615"/>
      <c r="J66" s="614">
        <f t="shared" si="1"/>
        <v>0</v>
      </c>
    </row>
    <row r="67" spans="2:10" hidden="1">
      <c r="B67" s="213">
        <v>52</v>
      </c>
      <c r="C67" s="241"/>
      <c r="D67" s="244"/>
      <c r="E67" s="244"/>
      <c r="F67" s="245"/>
      <c r="G67" s="237"/>
      <c r="H67" s="614">
        <f t="shared" si="2"/>
        <v>0</v>
      </c>
      <c r="I67" s="615"/>
      <c r="J67" s="614">
        <f t="shared" si="1"/>
        <v>0</v>
      </c>
    </row>
    <row r="68" spans="2:10" hidden="1">
      <c r="B68" s="213">
        <v>53</v>
      </c>
      <c r="C68" s="241"/>
      <c r="D68" s="244"/>
      <c r="E68" s="244"/>
      <c r="F68" s="245"/>
      <c r="G68" s="237"/>
      <c r="H68" s="614">
        <f t="shared" si="2"/>
        <v>0</v>
      </c>
      <c r="I68" s="615"/>
      <c r="J68" s="614">
        <f t="shared" si="1"/>
        <v>0</v>
      </c>
    </row>
    <row r="69" spans="2:10" hidden="1">
      <c r="B69" s="213">
        <v>54</v>
      </c>
      <c r="C69" s="241"/>
      <c r="D69" s="244"/>
      <c r="E69" s="244"/>
      <c r="F69" s="245"/>
      <c r="G69" s="237"/>
      <c r="H69" s="614">
        <f t="shared" si="2"/>
        <v>0</v>
      </c>
      <c r="I69" s="615"/>
      <c r="J69" s="614">
        <f t="shared" si="1"/>
        <v>0</v>
      </c>
    </row>
    <row r="70" spans="2:10" hidden="1">
      <c r="B70" s="213">
        <v>55</v>
      </c>
      <c r="C70" s="241"/>
      <c r="D70" s="244"/>
      <c r="E70" s="244"/>
      <c r="F70" s="245"/>
      <c r="G70" s="237"/>
      <c r="H70" s="614">
        <f t="shared" si="2"/>
        <v>0</v>
      </c>
      <c r="I70" s="615"/>
      <c r="J70" s="614">
        <f t="shared" si="1"/>
        <v>0</v>
      </c>
    </row>
    <row r="71" spans="2:10" hidden="1">
      <c r="B71" s="213">
        <v>56</v>
      </c>
      <c r="C71" s="241"/>
      <c r="D71" s="244"/>
      <c r="E71" s="244"/>
      <c r="F71" s="245"/>
      <c r="G71" s="237"/>
      <c r="H71" s="614">
        <f t="shared" si="2"/>
        <v>0</v>
      </c>
      <c r="I71" s="615"/>
      <c r="J71" s="614">
        <f t="shared" si="1"/>
        <v>0</v>
      </c>
    </row>
    <row r="72" spans="2:10" hidden="1">
      <c r="B72" s="213">
        <v>57</v>
      </c>
      <c r="C72" s="241"/>
      <c r="D72" s="244"/>
      <c r="E72" s="244"/>
      <c r="F72" s="245"/>
      <c r="G72" s="237"/>
      <c r="H72" s="614">
        <f t="shared" si="2"/>
        <v>0</v>
      </c>
      <c r="I72" s="615"/>
      <c r="J72" s="614">
        <f t="shared" si="1"/>
        <v>0</v>
      </c>
    </row>
    <row r="73" spans="2:10" hidden="1">
      <c r="B73" s="213">
        <v>58</v>
      </c>
      <c r="C73" s="241"/>
      <c r="D73" s="244"/>
      <c r="E73" s="244"/>
      <c r="F73" s="245"/>
      <c r="G73" s="237"/>
      <c r="H73" s="614">
        <f t="shared" si="2"/>
        <v>0</v>
      </c>
      <c r="I73" s="615"/>
      <c r="J73" s="614">
        <f t="shared" si="1"/>
        <v>0</v>
      </c>
    </row>
    <row r="74" spans="2:10" hidden="1">
      <c r="B74" s="213">
        <v>59</v>
      </c>
      <c r="C74" s="241"/>
      <c r="D74" s="244"/>
      <c r="E74" s="244"/>
      <c r="F74" s="245"/>
      <c r="G74" s="237"/>
      <c r="H74" s="614">
        <f t="shared" si="2"/>
        <v>0</v>
      </c>
      <c r="I74" s="615"/>
      <c r="J74" s="614">
        <f t="shared" si="1"/>
        <v>0</v>
      </c>
    </row>
    <row r="75" spans="2:10" ht="13.5" hidden="1" thickBot="1">
      <c r="B75" s="213">
        <v>60</v>
      </c>
      <c r="C75" s="246"/>
      <c r="D75" s="247"/>
      <c r="E75" s="247"/>
      <c r="F75" s="248"/>
      <c r="G75" s="237"/>
      <c r="H75" s="616">
        <f t="shared" si="2"/>
        <v>0</v>
      </c>
      <c r="I75" s="615"/>
      <c r="J75" s="614">
        <f t="shared" si="1"/>
        <v>0</v>
      </c>
    </row>
    <row r="76" spans="2:10" s="820" customFormat="1" hidden="1">
      <c r="B76" s="821"/>
      <c r="C76" s="820" t="s">
        <v>516</v>
      </c>
      <c r="D76" s="822"/>
    </row>
    <row r="77" spans="2:10" s="820" customFormat="1" hidden="1">
      <c r="B77" s="821"/>
      <c r="C77" s="820" t="s">
        <v>517</v>
      </c>
      <c r="D77" s="822"/>
    </row>
    <row r="78" spans="2:10" s="820" customFormat="1" hidden="1">
      <c r="B78" s="821"/>
      <c r="C78" s="820" t="s">
        <v>518</v>
      </c>
      <c r="D78" s="822"/>
    </row>
    <row r="79" spans="2:10" s="820" customFormat="1" hidden="1">
      <c r="B79" s="821"/>
      <c r="C79" s="820" t="s">
        <v>519</v>
      </c>
      <c r="D79" s="822"/>
    </row>
    <row r="80" spans="2:10" s="820" customFormat="1" hidden="1">
      <c r="B80" s="821"/>
      <c r="C80" s="820" t="s">
        <v>520</v>
      </c>
      <c r="D80" s="822"/>
    </row>
    <row r="81" spans="2:4" s="820" customFormat="1" hidden="1">
      <c r="B81" s="821"/>
      <c r="C81" s="820" t="s">
        <v>521</v>
      </c>
      <c r="D81" s="822"/>
    </row>
    <row r="82" spans="2:4" s="820" customFormat="1" hidden="1">
      <c r="B82" s="821"/>
      <c r="C82" s="820" t="s">
        <v>522</v>
      </c>
      <c r="D82" s="822"/>
    </row>
    <row r="83" spans="2:4" s="820" customFormat="1" hidden="1">
      <c r="B83" s="821"/>
      <c r="C83" s="820" t="s">
        <v>523</v>
      </c>
      <c r="D83" s="822"/>
    </row>
    <row r="84" spans="2:4" s="820" customFormat="1" hidden="1">
      <c r="B84" s="821"/>
      <c r="C84" s="820" t="s">
        <v>524</v>
      </c>
      <c r="D84" s="822"/>
    </row>
    <row r="85" spans="2:4" s="820" customFormat="1" hidden="1">
      <c r="B85" s="821"/>
      <c r="C85" s="820" t="s">
        <v>525</v>
      </c>
      <c r="D85" s="822"/>
    </row>
    <row r="86" spans="2:4" s="820" customFormat="1" hidden="1">
      <c r="B86" s="821"/>
      <c r="C86" s="820" t="s">
        <v>526</v>
      </c>
      <c r="D86" s="822"/>
    </row>
    <row r="87" spans="2:4" s="820" customFormat="1" hidden="1">
      <c r="B87" s="821"/>
      <c r="C87" s="820" t="s">
        <v>527</v>
      </c>
      <c r="D87" s="822"/>
    </row>
    <row r="88" spans="2:4" s="820" customFormat="1" hidden="1">
      <c r="B88" s="821"/>
      <c r="C88" s="820" t="s">
        <v>528</v>
      </c>
      <c r="D88" s="822"/>
    </row>
    <row r="89" spans="2:4" s="820" customFormat="1" hidden="1">
      <c r="B89" s="821"/>
      <c r="C89" s="820" t="s">
        <v>529</v>
      </c>
      <c r="D89" s="822"/>
    </row>
    <row r="90" spans="2:4" s="820" customFormat="1" hidden="1">
      <c r="B90" s="821"/>
      <c r="C90" s="820" t="s">
        <v>530</v>
      </c>
      <c r="D90" s="822"/>
    </row>
    <row r="91" spans="2:4" s="820" customFormat="1" hidden="1">
      <c r="B91" s="821"/>
      <c r="C91" s="820" t="s">
        <v>531</v>
      </c>
      <c r="D91" s="822"/>
    </row>
    <row r="92" spans="2:4" s="820" customFormat="1" hidden="1">
      <c r="B92" s="821"/>
      <c r="C92" s="820" t="s">
        <v>532</v>
      </c>
      <c r="D92" s="822"/>
    </row>
    <row r="93" spans="2:4" s="820" customFormat="1" hidden="1">
      <c r="B93" s="821"/>
      <c r="C93" s="820" t="s">
        <v>533</v>
      </c>
      <c r="D93" s="822"/>
    </row>
    <row r="94" spans="2:4" s="820" customFormat="1" hidden="1">
      <c r="B94" s="821"/>
      <c r="C94" s="820" t="s">
        <v>534</v>
      </c>
      <c r="D94" s="822"/>
    </row>
    <row r="95" spans="2:4" s="820" customFormat="1" hidden="1">
      <c r="B95" s="821"/>
      <c r="C95" s="820" t="s">
        <v>535</v>
      </c>
      <c r="D95" s="822"/>
    </row>
    <row r="96" spans="2:4" s="820" customFormat="1" hidden="1">
      <c r="B96" s="821"/>
      <c r="C96" s="820" t="s">
        <v>536</v>
      </c>
      <c r="D96" s="822"/>
    </row>
    <row r="97" spans="2:4" s="820" customFormat="1" hidden="1">
      <c r="B97" s="821"/>
      <c r="C97" s="820" t="s">
        <v>537</v>
      </c>
      <c r="D97" s="822"/>
    </row>
    <row r="98" spans="2:4" s="820" customFormat="1" hidden="1">
      <c r="B98" s="821"/>
      <c r="C98" s="820" t="s">
        <v>538</v>
      </c>
      <c r="D98" s="822"/>
    </row>
    <row r="99" spans="2:4" s="820" customFormat="1" hidden="1">
      <c r="B99" s="821"/>
      <c r="C99" s="820" t="s">
        <v>539</v>
      </c>
      <c r="D99" s="822"/>
    </row>
    <row r="100" spans="2:4" s="820" customFormat="1" hidden="1">
      <c r="B100" s="821"/>
      <c r="C100" s="820" t="s">
        <v>540</v>
      </c>
      <c r="D100" s="822"/>
    </row>
    <row r="101" spans="2:4" s="820" customFormat="1" hidden="1">
      <c r="B101" s="821"/>
      <c r="C101" s="820" t="s">
        <v>541</v>
      </c>
      <c r="D101" s="822"/>
    </row>
    <row r="102" spans="2:4" s="820" customFormat="1" hidden="1">
      <c r="B102" s="821"/>
      <c r="C102" s="820" t="s">
        <v>542</v>
      </c>
      <c r="D102" s="822"/>
    </row>
    <row r="103" spans="2:4" s="820" customFormat="1" hidden="1">
      <c r="B103" s="821"/>
      <c r="C103" s="820" t="s">
        <v>543</v>
      </c>
      <c r="D103" s="822"/>
    </row>
    <row r="104" spans="2:4" s="820" customFormat="1" hidden="1">
      <c r="B104" s="821"/>
      <c r="C104" s="820" t="s">
        <v>544</v>
      </c>
      <c r="D104" s="822"/>
    </row>
    <row r="105" spans="2:4" s="820" customFormat="1" hidden="1">
      <c r="B105" s="821"/>
      <c r="C105" s="820" t="s">
        <v>545</v>
      </c>
      <c r="D105" s="822"/>
    </row>
    <row r="106" spans="2:4" s="820" customFormat="1" hidden="1">
      <c r="B106" s="821"/>
      <c r="C106" s="820" t="s">
        <v>546</v>
      </c>
      <c r="D106" s="822"/>
    </row>
    <row r="107" spans="2:4" s="820" customFormat="1" hidden="1">
      <c r="B107" s="821"/>
      <c r="C107" s="820" t="s">
        <v>547</v>
      </c>
      <c r="D107" s="822"/>
    </row>
    <row r="108" spans="2:4" s="820" customFormat="1" hidden="1">
      <c r="B108" s="821"/>
      <c r="C108" s="820" t="s">
        <v>548</v>
      </c>
      <c r="D108" s="822"/>
    </row>
    <row r="109" spans="2:4" s="820" customFormat="1" hidden="1">
      <c r="B109" s="821"/>
      <c r="C109" s="820" t="s">
        <v>549</v>
      </c>
      <c r="D109" s="822"/>
    </row>
    <row r="110" spans="2:4" s="820" customFormat="1" hidden="1">
      <c r="B110" s="821"/>
      <c r="C110" s="820" t="s">
        <v>550</v>
      </c>
      <c r="D110" s="822"/>
    </row>
    <row r="111" spans="2:4" s="820" customFormat="1" hidden="1">
      <c r="B111" s="821"/>
      <c r="C111" s="820" t="s">
        <v>551</v>
      </c>
      <c r="D111" s="822"/>
    </row>
    <row r="112" spans="2:4" s="820" customFormat="1" hidden="1">
      <c r="B112" s="821"/>
      <c r="C112" s="820" t="s">
        <v>552</v>
      </c>
      <c r="D112" s="822"/>
    </row>
    <row r="113" spans="2:10" s="820" customFormat="1" hidden="1">
      <c r="B113" s="821"/>
      <c r="C113" s="820" t="s">
        <v>553</v>
      </c>
      <c r="D113" s="822"/>
    </row>
    <row r="114" spans="2:10" s="820" customFormat="1" hidden="1">
      <c r="B114" s="821"/>
      <c r="C114" s="820" t="s">
        <v>554</v>
      </c>
      <c r="D114" s="822"/>
    </row>
    <row r="115" spans="2:10" s="820" customFormat="1" hidden="1">
      <c r="B115" s="821"/>
      <c r="C115" s="820" t="s">
        <v>555</v>
      </c>
      <c r="D115" s="822"/>
    </row>
    <row r="116" spans="2:10" s="820" customFormat="1" hidden="1">
      <c r="B116" s="821"/>
      <c r="C116" s="820" t="s">
        <v>556</v>
      </c>
      <c r="D116" s="822"/>
    </row>
    <row r="117" spans="2:10" s="820" customFormat="1" hidden="1">
      <c r="B117" s="821"/>
      <c r="C117" s="820" t="s">
        <v>557</v>
      </c>
      <c r="D117" s="822"/>
    </row>
    <row r="118" spans="2:10">
      <c r="C118" s="238"/>
      <c r="D118" s="239"/>
      <c r="E118" s="239"/>
      <c r="F118" s="240"/>
      <c r="G118" s="237"/>
      <c r="H118" s="237"/>
      <c r="I118" s="237"/>
      <c r="J118" s="237"/>
    </row>
    <row r="119" spans="2:10" ht="36.75" customHeight="1">
      <c r="C119" s="1057" t="s">
        <v>411</v>
      </c>
      <c r="D119" s="1057"/>
      <c r="E119" s="1057"/>
      <c r="F119" s="1057"/>
      <c r="G119" s="1057"/>
      <c r="H119" s="1057"/>
      <c r="I119" s="1057"/>
      <c r="J119" s="1057"/>
    </row>
  </sheetData>
  <sheetProtection password="C91B" sheet="1" objects="1" scenarios="1" formatCells="0" formatColumns="0" formatRows="0"/>
  <mergeCells count="7">
    <mergeCell ref="C119:J119"/>
    <mergeCell ref="G6:H7"/>
    <mergeCell ref="E6:F7"/>
    <mergeCell ref="C4:J4"/>
    <mergeCell ref="J8:K9"/>
    <mergeCell ref="D6:D7"/>
    <mergeCell ref="C6:C7"/>
  </mergeCells>
  <phoneticPr fontId="0" type="noConversion"/>
  <printOptions horizontalCentered="1"/>
  <pageMargins left="0.32" right="0.24" top="0.98425196850393704" bottom="0.98425196850393704" header="0.51181102362204722" footer="0.51181102362204722"/>
  <pageSetup paperSize="9" scale="90" orientation="portrait" blackAndWhite="1" horizontalDpi="300" verticalDpi="300" r:id="rId1"/>
  <headerFooter alignWithMargins="0">
    <oddFooter>&amp;R&amp;F</oddFooter>
  </headerFooter>
  <cellWatches>
    <cellWatch r="C76"/>
    <cellWatch r="C77"/>
    <cellWatch r="C78"/>
    <cellWatch r="C79"/>
    <cellWatch r="C80"/>
    <cellWatch r="C81"/>
    <cellWatch r="C82"/>
    <cellWatch r="C83"/>
    <cellWatch r="C84"/>
    <cellWatch r="C85"/>
    <cellWatch r="C86"/>
    <cellWatch r="C87"/>
    <cellWatch r="C88"/>
    <cellWatch r="C89"/>
    <cellWatch r="C90"/>
    <cellWatch r="C91"/>
    <cellWatch r="C92"/>
    <cellWatch r="C93"/>
    <cellWatch r="C94"/>
    <cellWatch r="C95"/>
    <cellWatch r="C96"/>
    <cellWatch r="C97"/>
    <cellWatch r="C98"/>
    <cellWatch r="C99"/>
    <cellWatch r="C100"/>
    <cellWatch r="C101"/>
    <cellWatch r="C102"/>
    <cellWatch r="C103"/>
    <cellWatch r="C104"/>
    <cellWatch r="C105"/>
    <cellWatch r="C106"/>
    <cellWatch r="C107"/>
    <cellWatch r="C108"/>
    <cellWatch r="C109"/>
    <cellWatch r="C110"/>
    <cellWatch r="C111"/>
    <cellWatch r="C112"/>
    <cellWatch r="C113"/>
    <cellWatch r="C114"/>
    <cellWatch r="C115"/>
    <cellWatch r="C116"/>
    <cellWatch r="C117"/>
  </cellWatches>
  <ignoredErrors>
    <ignoredError sqref="G6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  <pageSetUpPr autoPageBreaks="0"/>
  </sheetPr>
  <dimension ref="B1:N811"/>
  <sheetViews>
    <sheetView showGridLines="0" showZeros="0" topLeftCell="A2" workbookViewId="0">
      <pane ySplit="10" topLeftCell="A12" activePane="bottomLeft" state="frozenSplit"/>
      <selection activeCell="A3" sqref="A3"/>
      <selection pane="bottomLeft" activeCell="C13" sqref="C13"/>
    </sheetView>
  </sheetViews>
  <sheetFormatPr defaultRowHeight="12.75"/>
  <cols>
    <col min="1" max="1" width="2.42578125" style="214" customWidth="1"/>
    <col min="2" max="2" width="3.42578125" style="793" customWidth="1"/>
    <col min="3" max="3" width="36" style="214" customWidth="1"/>
    <col min="4" max="4" width="6.85546875" style="214" customWidth="1"/>
    <col min="5" max="5" width="9.5703125" style="794" customWidth="1"/>
    <col min="6" max="6" width="10.5703125" style="214" customWidth="1"/>
    <col min="7" max="7" width="1.85546875" style="214" customWidth="1"/>
    <col min="8" max="8" width="9.85546875" style="214" customWidth="1"/>
    <col min="9" max="9" width="1.85546875" style="214" customWidth="1"/>
    <col min="10" max="10" width="10.28515625" style="214" customWidth="1"/>
    <col min="11" max="11" width="1.85546875" style="214" customWidth="1"/>
    <col min="12" max="12" width="11.5703125" style="214" bestFit="1" customWidth="1"/>
    <col min="13" max="13" width="1.85546875" style="214" customWidth="1"/>
    <col min="14" max="14" width="14" style="214" customWidth="1"/>
    <col min="15" max="15" width="1.85546875" style="214" customWidth="1"/>
    <col min="16" max="16" width="10.28515625" style="214" customWidth="1"/>
    <col min="17" max="17" width="1.7109375" style="214" customWidth="1"/>
    <col min="18" max="16384" width="9.140625" style="214"/>
  </cols>
  <sheetData>
    <row r="1" spans="2:14" ht="9" customHeight="1"/>
    <row r="2" spans="2:14" ht="9" customHeight="1"/>
    <row r="3" spans="2:14" ht="16.5" customHeight="1">
      <c r="E3" s="214"/>
    </row>
    <row r="4" spans="2:14" ht="5.25" customHeight="1"/>
    <row r="5" spans="2:14" ht="18" customHeight="1" thickBot="1">
      <c r="C5" s="1064" t="s">
        <v>173</v>
      </c>
      <c r="D5" s="1065"/>
      <c r="E5" s="1065"/>
      <c r="F5" s="1065"/>
      <c r="G5" s="1065"/>
      <c r="H5" s="1065"/>
      <c r="I5" s="1065"/>
      <c r="J5" s="1065"/>
      <c r="K5" s="1065"/>
      <c r="L5" s="1065"/>
      <c r="M5" s="1065"/>
      <c r="N5" s="1066"/>
    </row>
    <row r="6" spans="2:14" ht="9.75" customHeight="1"/>
    <row r="7" spans="2:14" s="225" customFormat="1" ht="11.25" customHeight="1">
      <c r="C7" s="795" t="s">
        <v>126</v>
      </c>
      <c r="D7" s="796" t="s">
        <v>119</v>
      </c>
      <c r="E7" s="797" t="s">
        <v>120</v>
      </c>
      <c r="F7" s="796" t="s">
        <v>121</v>
      </c>
      <c r="G7" s="796"/>
      <c r="H7" s="796" t="s">
        <v>122</v>
      </c>
      <c r="I7" s="796"/>
      <c r="J7" s="796" t="s">
        <v>123</v>
      </c>
      <c r="K7" s="796"/>
      <c r="L7" s="796" t="s">
        <v>124</v>
      </c>
      <c r="M7" s="796"/>
      <c r="N7" s="796" t="s">
        <v>125</v>
      </c>
    </row>
    <row r="8" spans="2:14" s="800" customFormat="1" ht="25.5" customHeight="1" thickBot="1">
      <c r="B8" s="798"/>
      <c r="C8" s="183" t="s">
        <v>162</v>
      </c>
      <c r="D8" s="183" t="s">
        <v>66</v>
      </c>
      <c r="E8" s="806" t="s">
        <v>65</v>
      </c>
      <c r="F8" s="183" t="s">
        <v>84</v>
      </c>
      <c r="G8" s="804"/>
      <c r="H8" s="183" t="s">
        <v>85</v>
      </c>
      <c r="I8" s="805"/>
      <c r="J8" s="183" t="s">
        <v>86</v>
      </c>
      <c r="K8" s="805"/>
      <c r="L8" s="183" t="s">
        <v>82</v>
      </c>
      <c r="M8" s="805"/>
      <c r="N8" s="183" t="s">
        <v>81</v>
      </c>
    </row>
    <row r="9" spans="2:14" s="800" customFormat="1" ht="6.75" customHeight="1">
      <c r="B9" s="798"/>
      <c r="C9" s="157"/>
      <c r="D9" s="157"/>
      <c r="E9" s="801"/>
      <c r="F9" s="157"/>
      <c r="G9" s="167"/>
      <c r="H9" s="157"/>
      <c r="I9" s="799"/>
      <c r="J9" s="157"/>
      <c r="K9" s="799"/>
      <c r="L9" s="157"/>
      <c r="M9" s="799"/>
      <c r="N9" s="157"/>
    </row>
    <row r="10" spans="2:14" s="800" customFormat="1" ht="19.5" customHeight="1" thickBot="1">
      <c r="B10" s="798"/>
      <c r="C10" s="157"/>
      <c r="D10" s="157"/>
      <c r="E10" s="801"/>
      <c r="F10" s="157"/>
      <c r="G10" s="167"/>
      <c r="H10" s="157"/>
      <c r="I10" s="799"/>
      <c r="J10" s="448" t="s">
        <v>178</v>
      </c>
      <c r="K10" s="799"/>
      <c r="L10" s="871">
        <f>TRUNC((SUM(L13:L612)),2)</f>
        <v>0</v>
      </c>
      <c r="M10" s="819"/>
      <c r="N10" s="815">
        <f>L10*12</f>
        <v>0</v>
      </c>
    </row>
    <row r="11" spans="2:14" s="800" customFormat="1" ht="3" customHeight="1">
      <c r="B11" s="798"/>
      <c r="C11" s="157"/>
      <c r="D11" s="157"/>
      <c r="E11" s="801"/>
      <c r="F11" s="157"/>
      <c r="G11" s="167"/>
      <c r="H11" s="157"/>
      <c r="I11" s="799"/>
      <c r="J11" s="157"/>
      <c r="K11" s="799"/>
      <c r="L11" s="223"/>
      <c r="M11" s="799"/>
      <c r="N11" s="223"/>
    </row>
    <row r="12" spans="2:14" ht="9.75" customHeight="1">
      <c r="C12" s="232"/>
      <c r="D12" s="802"/>
      <c r="E12" s="803"/>
      <c r="F12" s="235"/>
      <c r="G12" s="235"/>
      <c r="H12" s="236"/>
      <c r="I12" s="236"/>
      <c r="J12" s="236"/>
      <c r="K12" s="236"/>
      <c r="L12" s="236"/>
      <c r="M12" s="236"/>
      <c r="N12" s="236"/>
    </row>
    <row r="13" spans="2:14">
      <c r="B13" s="793">
        <v>1</v>
      </c>
      <c r="C13" s="807"/>
      <c r="D13" s="808"/>
      <c r="E13" s="809"/>
      <c r="F13" s="810"/>
      <c r="G13" s="237"/>
      <c r="H13" s="601">
        <f>IF(Consolidado_Geral!$G$133=7.6%,-(0.0165+0.076)*F13,0)</f>
        <v>0</v>
      </c>
      <c r="I13" s="237"/>
      <c r="J13" s="614">
        <f t="shared" ref="J13:J76" si="0">F13+H13</f>
        <v>0</v>
      </c>
      <c r="K13" s="237"/>
      <c r="L13" s="614">
        <f t="shared" ref="L13:L76" si="1">J13*E13</f>
        <v>0</v>
      </c>
      <c r="M13" s="237"/>
      <c r="N13" s="614">
        <f t="shared" ref="N13:N76" si="2">L13*12</f>
        <v>0</v>
      </c>
    </row>
    <row r="14" spans="2:14">
      <c r="B14" s="793">
        <v>2</v>
      </c>
      <c r="C14" s="807"/>
      <c r="D14" s="808"/>
      <c r="E14" s="809"/>
      <c r="F14" s="810"/>
      <c r="G14" s="237"/>
      <c r="H14" s="601">
        <f>IF(Consolidado_Geral!$G$133=7.6%,-(0.0165+0.076)*F14,0)</f>
        <v>0</v>
      </c>
      <c r="I14" s="237"/>
      <c r="J14" s="614">
        <f t="shared" si="0"/>
        <v>0</v>
      </c>
      <c r="K14" s="237"/>
      <c r="L14" s="614">
        <f t="shared" si="1"/>
        <v>0</v>
      </c>
      <c r="M14" s="237"/>
      <c r="N14" s="614">
        <f t="shared" si="2"/>
        <v>0</v>
      </c>
    </row>
    <row r="15" spans="2:14">
      <c r="B15" s="793">
        <v>3</v>
      </c>
      <c r="C15" s="807"/>
      <c r="D15" s="808"/>
      <c r="E15" s="809"/>
      <c r="F15" s="810"/>
      <c r="G15" s="237"/>
      <c r="H15" s="601">
        <f>IF(Consolidado_Geral!$G$133=7.6%,-(0.0165+0.076)*F15,0)</f>
        <v>0</v>
      </c>
      <c r="I15" s="237"/>
      <c r="J15" s="614">
        <f t="shared" si="0"/>
        <v>0</v>
      </c>
      <c r="K15" s="237"/>
      <c r="L15" s="614">
        <f t="shared" si="1"/>
        <v>0</v>
      </c>
      <c r="M15" s="237"/>
      <c r="N15" s="614">
        <f t="shared" si="2"/>
        <v>0</v>
      </c>
    </row>
    <row r="16" spans="2:14">
      <c r="B16" s="793">
        <v>4</v>
      </c>
      <c r="C16" s="807"/>
      <c r="D16" s="808"/>
      <c r="E16" s="809"/>
      <c r="F16" s="810"/>
      <c r="G16" s="237"/>
      <c r="H16" s="601">
        <f>IF(Consolidado_Geral!$G$133=7.6%,-(0.0165+0.076)*F16,0)</f>
        <v>0</v>
      </c>
      <c r="I16" s="237"/>
      <c r="J16" s="614">
        <f t="shared" si="0"/>
        <v>0</v>
      </c>
      <c r="K16" s="237"/>
      <c r="L16" s="614">
        <f t="shared" si="1"/>
        <v>0</v>
      </c>
      <c r="M16" s="237"/>
      <c r="N16" s="614">
        <f t="shared" si="2"/>
        <v>0</v>
      </c>
    </row>
    <row r="17" spans="2:14">
      <c r="B17" s="793">
        <v>5</v>
      </c>
      <c r="C17" s="807"/>
      <c r="D17" s="808"/>
      <c r="E17" s="809"/>
      <c r="F17" s="810"/>
      <c r="G17" s="237"/>
      <c r="H17" s="601">
        <f>IF(Consolidado_Geral!$G$133=7.6%,-(0.0165+0.076)*F17,0)</f>
        <v>0</v>
      </c>
      <c r="I17" s="237"/>
      <c r="J17" s="614">
        <f t="shared" si="0"/>
        <v>0</v>
      </c>
      <c r="K17" s="237"/>
      <c r="L17" s="614">
        <f t="shared" si="1"/>
        <v>0</v>
      </c>
      <c r="M17" s="237"/>
      <c r="N17" s="614">
        <f t="shared" si="2"/>
        <v>0</v>
      </c>
    </row>
    <row r="18" spans="2:14">
      <c r="B18" s="793">
        <v>6</v>
      </c>
      <c r="C18" s="807"/>
      <c r="D18" s="808"/>
      <c r="E18" s="809"/>
      <c r="F18" s="810"/>
      <c r="G18" s="237"/>
      <c r="H18" s="601">
        <f>IF(Consolidado_Geral!$G$133=7.6%,-(0.0165+0.076)*F18,0)</f>
        <v>0</v>
      </c>
      <c r="I18" s="237"/>
      <c r="J18" s="614">
        <f t="shared" si="0"/>
        <v>0</v>
      </c>
      <c r="K18" s="237"/>
      <c r="L18" s="614">
        <f t="shared" si="1"/>
        <v>0</v>
      </c>
      <c r="M18" s="237"/>
      <c r="N18" s="614">
        <f t="shared" si="2"/>
        <v>0</v>
      </c>
    </row>
    <row r="19" spans="2:14">
      <c r="B19" s="793">
        <v>7</v>
      </c>
      <c r="C19" s="807"/>
      <c r="D19" s="808"/>
      <c r="E19" s="809"/>
      <c r="F19" s="810"/>
      <c r="G19" s="237"/>
      <c r="H19" s="601">
        <f>IF(Consolidado_Geral!$G$133=7.6%,-(0.0165+0.076)*F19,0)</f>
        <v>0</v>
      </c>
      <c r="I19" s="237"/>
      <c r="J19" s="614">
        <f t="shared" si="0"/>
        <v>0</v>
      </c>
      <c r="K19" s="237"/>
      <c r="L19" s="614">
        <f t="shared" si="1"/>
        <v>0</v>
      </c>
      <c r="M19" s="237"/>
      <c r="N19" s="614">
        <f t="shared" si="2"/>
        <v>0</v>
      </c>
    </row>
    <row r="20" spans="2:14">
      <c r="B20" s="793">
        <v>8</v>
      </c>
      <c r="C20" s="807"/>
      <c r="D20" s="808"/>
      <c r="E20" s="809"/>
      <c r="F20" s="810"/>
      <c r="G20" s="237"/>
      <c r="H20" s="601">
        <f>IF(Consolidado_Geral!$G$133=7.6%,-(0.0165+0.076)*F20,0)</f>
        <v>0</v>
      </c>
      <c r="I20" s="237"/>
      <c r="J20" s="614">
        <f t="shared" si="0"/>
        <v>0</v>
      </c>
      <c r="K20" s="237"/>
      <c r="L20" s="614">
        <f t="shared" si="1"/>
        <v>0</v>
      </c>
      <c r="M20" s="237"/>
      <c r="N20" s="614">
        <f t="shared" si="2"/>
        <v>0</v>
      </c>
    </row>
    <row r="21" spans="2:14">
      <c r="B21" s="793">
        <v>9</v>
      </c>
      <c r="C21" s="807"/>
      <c r="D21" s="808"/>
      <c r="E21" s="809"/>
      <c r="F21" s="810"/>
      <c r="G21" s="237"/>
      <c r="H21" s="601">
        <f>IF(Consolidado_Geral!$G$133=7.6%,-(0.0165+0.076)*F21,0)</f>
        <v>0</v>
      </c>
      <c r="I21" s="237"/>
      <c r="J21" s="614">
        <f t="shared" si="0"/>
        <v>0</v>
      </c>
      <c r="K21" s="237"/>
      <c r="L21" s="614">
        <f t="shared" si="1"/>
        <v>0</v>
      </c>
      <c r="M21" s="237"/>
      <c r="N21" s="614">
        <f t="shared" si="2"/>
        <v>0</v>
      </c>
    </row>
    <row r="22" spans="2:14">
      <c r="B22" s="793">
        <v>10</v>
      </c>
      <c r="C22" s="807"/>
      <c r="D22" s="808"/>
      <c r="E22" s="809"/>
      <c r="F22" s="810"/>
      <c r="G22" s="237"/>
      <c r="H22" s="601">
        <f>IF(Consolidado_Geral!$G$133=7.6%,-(0.0165+0.076)*F22,0)</f>
        <v>0</v>
      </c>
      <c r="I22" s="237"/>
      <c r="J22" s="614">
        <f t="shared" si="0"/>
        <v>0</v>
      </c>
      <c r="K22" s="237"/>
      <c r="L22" s="614">
        <f t="shared" si="1"/>
        <v>0</v>
      </c>
      <c r="M22" s="237"/>
      <c r="N22" s="614">
        <f t="shared" si="2"/>
        <v>0</v>
      </c>
    </row>
    <row r="23" spans="2:14">
      <c r="B23" s="793">
        <v>11</v>
      </c>
      <c r="C23" s="807"/>
      <c r="D23" s="808"/>
      <c r="E23" s="809"/>
      <c r="F23" s="810"/>
      <c r="G23" s="237"/>
      <c r="H23" s="601">
        <f>IF(Consolidado_Geral!$G$133=7.6%,-(0.0165+0.076)*F23,0)</f>
        <v>0</v>
      </c>
      <c r="I23" s="237"/>
      <c r="J23" s="614">
        <f t="shared" si="0"/>
        <v>0</v>
      </c>
      <c r="K23" s="237"/>
      <c r="L23" s="614">
        <f t="shared" si="1"/>
        <v>0</v>
      </c>
      <c r="M23" s="237"/>
      <c r="N23" s="614">
        <f t="shared" si="2"/>
        <v>0</v>
      </c>
    </row>
    <row r="24" spans="2:14">
      <c r="B24" s="793">
        <v>12</v>
      </c>
      <c r="C24" s="807"/>
      <c r="D24" s="808"/>
      <c r="E24" s="809"/>
      <c r="F24" s="810"/>
      <c r="G24" s="237"/>
      <c r="H24" s="601">
        <f>IF(Consolidado_Geral!$G$133=7.6%,-(0.0165+0.076)*F24,0)</f>
        <v>0</v>
      </c>
      <c r="I24" s="237"/>
      <c r="J24" s="614">
        <f t="shared" si="0"/>
        <v>0</v>
      </c>
      <c r="K24" s="237"/>
      <c r="L24" s="614">
        <f t="shared" si="1"/>
        <v>0</v>
      </c>
      <c r="M24" s="237"/>
      <c r="N24" s="614">
        <f t="shared" si="2"/>
        <v>0</v>
      </c>
    </row>
    <row r="25" spans="2:14">
      <c r="B25" s="793">
        <v>13</v>
      </c>
      <c r="C25" s="807"/>
      <c r="D25" s="808"/>
      <c r="E25" s="809"/>
      <c r="F25" s="810"/>
      <c r="G25" s="237"/>
      <c r="H25" s="601">
        <f>IF(Consolidado_Geral!$G$133=7.6%,-(0.0165+0.076)*F25,0)</f>
        <v>0</v>
      </c>
      <c r="I25" s="237"/>
      <c r="J25" s="614">
        <f t="shared" si="0"/>
        <v>0</v>
      </c>
      <c r="K25" s="237"/>
      <c r="L25" s="614">
        <f t="shared" si="1"/>
        <v>0</v>
      </c>
      <c r="M25" s="237"/>
      <c r="N25" s="614">
        <f t="shared" si="2"/>
        <v>0</v>
      </c>
    </row>
    <row r="26" spans="2:14">
      <c r="B26" s="793">
        <v>14</v>
      </c>
      <c r="C26" s="807"/>
      <c r="D26" s="808"/>
      <c r="E26" s="809"/>
      <c r="F26" s="810"/>
      <c r="G26" s="237"/>
      <c r="H26" s="601">
        <f>IF(Consolidado_Geral!$G$133=7.6%,-(0.0165+0.076)*F26,0)</f>
        <v>0</v>
      </c>
      <c r="I26" s="237"/>
      <c r="J26" s="614">
        <f t="shared" si="0"/>
        <v>0</v>
      </c>
      <c r="K26" s="237"/>
      <c r="L26" s="614">
        <f t="shared" si="1"/>
        <v>0</v>
      </c>
      <c r="M26" s="237"/>
      <c r="N26" s="614">
        <f t="shared" si="2"/>
        <v>0</v>
      </c>
    </row>
    <row r="27" spans="2:14">
      <c r="B27" s="793">
        <v>15</v>
      </c>
      <c r="C27" s="807"/>
      <c r="D27" s="808"/>
      <c r="E27" s="809"/>
      <c r="F27" s="810"/>
      <c r="G27" s="237"/>
      <c r="H27" s="601">
        <f>IF(Consolidado_Geral!$G$133=7.6%,-(0.0165+0.076)*F27,0)</f>
        <v>0</v>
      </c>
      <c r="I27" s="237"/>
      <c r="J27" s="614">
        <f t="shared" si="0"/>
        <v>0</v>
      </c>
      <c r="K27" s="237"/>
      <c r="L27" s="614">
        <f t="shared" si="1"/>
        <v>0</v>
      </c>
      <c r="M27" s="237"/>
      <c r="N27" s="614">
        <f t="shared" si="2"/>
        <v>0</v>
      </c>
    </row>
    <row r="28" spans="2:14">
      <c r="B28" s="793">
        <v>16</v>
      </c>
      <c r="C28" s="807"/>
      <c r="D28" s="808"/>
      <c r="E28" s="809"/>
      <c r="F28" s="810"/>
      <c r="G28" s="237"/>
      <c r="H28" s="601">
        <f>IF(Consolidado_Geral!$G$133=7.6%,-(0.0165+0.076)*F28,0)</f>
        <v>0</v>
      </c>
      <c r="I28" s="237"/>
      <c r="J28" s="614">
        <f t="shared" si="0"/>
        <v>0</v>
      </c>
      <c r="K28" s="237"/>
      <c r="L28" s="614">
        <f t="shared" si="1"/>
        <v>0</v>
      </c>
      <c r="M28" s="237"/>
      <c r="N28" s="614">
        <f t="shared" si="2"/>
        <v>0</v>
      </c>
    </row>
    <row r="29" spans="2:14">
      <c r="B29" s="793">
        <v>17</v>
      </c>
      <c r="C29" s="807"/>
      <c r="D29" s="808"/>
      <c r="E29" s="809"/>
      <c r="F29" s="810"/>
      <c r="G29" s="237"/>
      <c r="H29" s="601">
        <f>IF(Consolidado_Geral!$G$133=7.6%,-(0.0165+0.076)*F29,0)</f>
        <v>0</v>
      </c>
      <c r="I29" s="237"/>
      <c r="J29" s="614">
        <f t="shared" si="0"/>
        <v>0</v>
      </c>
      <c r="K29" s="237"/>
      <c r="L29" s="614">
        <f t="shared" si="1"/>
        <v>0</v>
      </c>
      <c r="M29" s="237"/>
      <c r="N29" s="614">
        <f t="shared" si="2"/>
        <v>0</v>
      </c>
    </row>
    <row r="30" spans="2:14">
      <c r="B30" s="793">
        <v>18</v>
      </c>
      <c r="C30" s="807"/>
      <c r="D30" s="808"/>
      <c r="E30" s="809"/>
      <c r="F30" s="810"/>
      <c r="G30" s="237"/>
      <c r="H30" s="601">
        <f>IF(Consolidado_Geral!$G$133=7.6%,-(0.0165+0.076)*F30,0)</f>
        <v>0</v>
      </c>
      <c r="I30" s="237"/>
      <c r="J30" s="614">
        <f t="shared" si="0"/>
        <v>0</v>
      </c>
      <c r="K30" s="237"/>
      <c r="L30" s="614">
        <f t="shared" si="1"/>
        <v>0</v>
      </c>
      <c r="M30" s="237"/>
      <c r="N30" s="614">
        <f t="shared" si="2"/>
        <v>0</v>
      </c>
    </row>
    <row r="31" spans="2:14">
      <c r="B31" s="793">
        <v>19</v>
      </c>
      <c r="C31" s="807"/>
      <c r="D31" s="808"/>
      <c r="E31" s="809"/>
      <c r="F31" s="810"/>
      <c r="G31" s="237"/>
      <c r="H31" s="601">
        <f>IF(Consolidado_Geral!$G$133=7.6%,-(0.0165+0.076)*F31,0)</f>
        <v>0</v>
      </c>
      <c r="I31" s="237"/>
      <c r="J31" s="614">
        <f t="shared" si="0"/>
        <v>0</v>
      </c>
      <c r="K31" s="237"/>
      <c r="L31" s="614">
        <f t="shared" si="1"/>
        <v>0</v>
      </c>
      <c r="M31" s="237"/>
      <c r="N31" s="614">
        <f t="shared" si="2"/>
        <v>0</v>
      </c>
    </row>
    <row r="32" spans="2:14">
      <c r="B32" s="793">
        <v>20</v>
      </c>
      <c r="C32" s="807"/>
      <c r="D32" s="808"/>
      <c r="E32" s="809"/>
      <c r="F32" s="810"/>
      <c r="G32" s="237"/>
      <c r="H32" s="601">
        <f>IF(Consolidado_Geral!$G$133=7.6%,-(0.0165+0.076)*F32,0)</f>
        <v>0</v>
      </c>
      <c r="I32" s="237"/>
      <c r="J32" s="614">
        <f t="shared" si="0"/>
        <v>0</v>
      </c>
      <c r="K32" s="237"/>
      <c r="L32" s="614">
        <f t="shared" si="1"/>
        <v>0</v>
      </c>
      <c r="M32" s="237"/>
      <c r="N32" s="614">
        <f t="shared" si="2"/>
        <v>0</v>
      </c>
    </row>
    <row r="33" spans="2:14">
      <c r="B33" s="793">
        <v>21</v>
      </c>
      <c r="C33" s="807"/>
      <c r="D33" s="808"/>
      <c r="E33" s="809"/>
      <c r="F33" s="810"/>
      <c r="G33" s="237"/>
      <c r="H33" s="601">
        <f>IF(Consolidado_Geral!$G$133=7.6%,-(0.0165+0.076)*F33,0)</f>
        <v>0</v>
      </c>
      <c r="I33" s="237"/>
      <c r="J33" s="614">
        <f t="shared" si="0"/>
        <v>0</v>
      </c>
      <c r="K33" s="237"/>
      <c r="L33" s="614">
        <f t="shared" si="1"/>
        <v>0</v>
      </c>
      <c r="M33" s="237"/>
      <c r="N33" s="614">
        <f t="shared" si="2"/>
        <v>0</v>
      </c>
    </row>
    <row r="34" spans="2:14">
      <c r="B34" s="793">
        <v>22</v>
      </c>
      <c r="C34" s="807"/>
      <c r="D34" s="808"/>
      <c r="E34" s="809"/>
      <c r="F34" s="810"/>
      <c r="G34" s="237"/>
      <c r="H34" s="601">
        <f>IF(Consolidado_Geral!$G$133=7.6%,-(0.0165+0.076)*F34,0)</f>
        <v>0</v>
      </c>
      <c r="I34" s="237"/>
      <c r="J34" s="614">
        <f t="shared" si="0"/>
        <v>0</v>
      </c>
      <c r="K34" s="237"/>
      <c r="L34" s="614">
        <f t="shared" si="1"/>
        <v>0</v>
      </c>
      <c r="M34" s="237"/>
      <c r="N34" s="614">
        <f t="shared" si="2"/>
        <v>0</v>
      </c>
    </row>
    <row r="35" spans="2:14">
      <c r="B35" s="793">
        <v>23</v>
      </c>
      <c r="C35" s="807"/>
      <c r="D35" s="808"/>
      <c r="E35" s="809"/>
      <c r="F35" s="810"/>
      <c r="G35" s="237"/>
      <c r="H35" s="601">
        <f>IF(Consolidado_Geral!$G$133=7.6%,-(0.0165+0.076)*F35,0)</f>
        <v>0</v>
      </c>
      <c r="I35" s="237"/>
      <c r="J35" s="614">
        <f t="shared" si="0"/>
        <v>0</v>
      </c>
      <c r="K35" s="237"/>
      <c r="L35" s="614">
        <f t="shared" si="1"/>
        <v>0</v>
      </c>
      <c r="M35" s="237"/>
      <c r="N35" s="614">
        <f t="shared" si="2"/>
        <v>0</v>
      </c>
    </row>
    <row r="36" spans="2:14">
      <c r="B36" s="793">
        <v>24</v>
      </c>
      <c r="C36" s="807"/>
      <c r="D36" s="808"/>
      <c r="E36" s="809"/>
      <c r="F36" s="810"/>
      <c r="G36" s="237"/>
      <c r="H36" s="601">
        <f>IF(Consolidado_Geral!$G$133=7.6%,-(0.0165+0.076)*F36,0)</f>
        <v>0</v>
      </c>
      <c r="I36" s="237"/>
      <c r="J36" s="614">
        <f t="shared" si="0"/>
        <v>0</v>
      </c>
      <c r="K36" s="237"/>
      <c r="L36" s="614">
        <f t="shared" si="1"/>
        <v>0</v>
      </c>
      <c r="M36" s="237"/>
      <c r="N36" s="614">
        <f t="shared" si="2"/>
        <v>0</v>
      </c>
    </row>
    <row r="37" spans="2:14">
      <c r="B37" s="793">
        <v>25</v>
      </c>
      <c r="C37" s="807"/>
      <c r="D37" s="808"/>
      <c r="E37" s="809"/>
      <c r="F37" s="810"/>
      <c r="G37" s="237"/>
      <c r="H37" s="601">
        <f>IF(Consolidado_Geral!$G$133=7.6%,-(0.0165+0.076)*F37,0)</f>
        <v>0</v>
      </c>
      <c r="I37" s="237"/>
      <c r="J37" s="614">
        <f t="shared" si="0"/>
        <v>0</v>
      </c>
      <c r="K37" s="237"/>
      <c r="L37" s="614">
        <f t="shared" si="1"/>
        <v>0</v>
      </c>
      <c r="M37" s="237"/>
      <c r="N37" s="614">
        <f t="shared" si="2"/>
        <v>0</v>
      </c>
    </row>
    <row r="38" spans="2:14">
      <c r="B38" s="793">
        <v>26</v>
      </c>
      <c r="C38" s="807"/>
      <c r="D38" s="808"/>
      <c r="E38" s="809"/>
      <c r="F38" s="810"/>
      <c r="G38" s="237"/>
      <c r="H38" s="601">
        <f>IF(Consolidado_Geral!$G$133=7.6%,-(0.0165+0.076)*F38,0)</f>
        <v>0</v>
      </c>
      <c r="I38" s="237"/>
      <c r="J38" s="614">
        <f t="shared" si="0"/>
        <v>0</v>
      </c>
      <c r="K38" s="237"/>
      <c r="L38" s="614">
        <f t="shared" si="1"/>
        <v>0</v>
      </c>
      <c r="M38" s="237"/>
      <c r="N38" s="614">
        <f t="shared" si="2"/>
        <v>0</v>
      </c>
    </row>
    <row r="39" spans="2:14">
      <c r="B39" s="793">
        <v>27</v>
      </c>
      <c r="C39" s="807"/>
      <c r="D39" s="808"/>
      <c r="E39" s="809"/>
      <c r="F39" s="810"/>
      <c r="G39" s="237"/>
      <c r="H39" s="601">
        <f>IF(Consolidado_Geral!$G$133=7.6%,-(0.0165+0.076)*F39,0)</f>
        <v>0</v>
      </c>
      <c r="I39" s="237"/>
      <c r="J39" s="614">
        <f t="shared" si="0"/>
        <v>0</v>
      </c>
      <c r="K39" s="237"/>
      <c r="L39" s="614">
        <f t="shared" si="1"/>
        <v>0</v>
      </c>
      <c r="M39" s="237"/>
      <c r="N39" s="614">
        <f t="shared" si="2"/>
        <v>0</v>
      </c>
    </row>
    <row r="40" spans="2:14">
      <c r="B40" s="793">
        <v>28</v>
      </c>
      <c r="C40" s="807"/>
      <c r="D40" s="808"/>
      <c r="E40" s="809"/>
      <c r="F40" s="810"/>
      <c r="G40" s="237"/>
      <c r="H40" s="601">
        <f>IF(Consolidado_Geral!$G$133=7.6%,-(0.0165+0.076)*F40,0)</f>
        <v>0</v>
      </c>
      <c r="I40" s="237"/>
      <c r="J40" s="614">
        <f t="shared" si="0"/>
        <v>0</v>
      </c>
      <c r="K40" s="237"/>
      <c r="L40" s="614">
        <f t="shared" si="1"/>
        <v>0</v>
      </c>
      <c r="M40" s="237"/>
      <c r="N40" s="614">
        <f t="shared" si="2"/>
        <v>0</v>
      </c>
    </row>
    <row r="41" spans="2:14">
      <c r="B41" s="793">
        <v>29</v>
      </c>
      <c r="C41" s="807"/>
      <c r="D41" s="808"/>
      <c r="E41" s="809"/>
      <c r="F41" s="810"/>
      <c r="G41" s="237"/>
      <c r="H41" s="601">
        <f>IF(Consolidado_Geral!$G$133=7.6%,-(0.0165+0.076)*F41,0)</f>
        <v>0</v>
      </c>
      <c r="I41" s="237"/>
      <c r="J41" s="614">
        <f t="shared" si="0"/>
        <v>0</v>
      </c>
      <c r="K41" s="237"/>
      <c r="L41" s="614">
        <f t="shared" si="1"/>
        <v>0</v>
      </c>
      <c r="M41" s="237"/>
      <c r="N41" s="614">
        <f t="shared" si="2"/>
        <v>0</v>
      </c>
    </row>
    <row r="42" spans="2:14">
      <c r="B42" s="793">
        <v>30</v>
      </c>
      <c r="C42" s="807"/>
      <c r="D42" s="808"/>
      <c r="E42" s="809"/>
      <c r="F42" s="810"/>
      <c r="G42" s="237"/>
      <c r="H42" s="601">
        <f>IF(Consolidado_Geral!$G$133=7.6%,-(0.0165+0.076)*F42,0)</f>
        <v>0</v>
      </c>
      <c r="I42" s="237"/>
      <c r="J42" s="614">
        <f t="shared" si="0"/>
        <v>0</v>
      </c>
      <c r="K42" s="237"/>
      <c r="L42" s="614">
        <f t="shared" si="1"/>
        <v>0</v>
      </c>
      <c r="M42" s="237"/>
      <c r="N42" s="614">
        <f t="shared" si="2"/>
        <v>0</v>
      </c>
    </row>
    <row r="43" spans="2:14">
      <c r="B43" s="793">
        <v>31</v>
      </c>
      <c r="C43" s="807"/>
      <c r="D43" s="808"/>
      <c r="E43" s="809"/>
      <c r="F43" s="810"/>
      <c r="G43" s="237"/>
      <c r="H43" s="601">
        <f>IF(Consolidado_Geral!$G$133=7.6%,-(0.0165+0.076)*F43,0)</f>
        <v>0</v>
      </c>
      <c r="I43" s="237"/>
      <c r="J43" s="614">
        <f t="shared" si="0"/>
        <v>0</v>
      </c>
      <c r="K43" s="237"/>
      <c r="L43" s="614">
        <f t="shared" si="1"/>
        <v>0</v>
      </c>
      <c r="M43" s="237"/>
      <c r="N43" s="614">
        <f t="shared" si="2"/>
        <v>0</v>
      </c>
    </row>
    <row r="44" spans="2:14">
      <c r="B44" s="793">
        <v>32</v>
      </c>
      <c r="C44" s="807"/>
      <c r="D44" s="808"/>
      <c r="E44" s="809"/>
      <c r="F44" s="810"/>
      <c r="G44" s="237"/>
      <c r="H44" s="601">
        <f>IF(Consolidado_Geral!$G$133=7.6%,-(0.0165+0.076)*F44,0)</f>
        <v>0</v>
      </c>
      <c r="I44" s="237"/>
      <c r="J44" s="614">
        <f t="shared" si="0"/>
        <v>0</v>
      </c>
      <c r="K44" s="237"/>
      <c r="L44" s="614">
        <f t="shared" si="1"/>
        <v>0</v>
      </c>
      <c r="M44" s="237"/>
      <c r="N44" s="614">
        <f t="shared" si="2"/>
        <v>0</v>
      </c>
    </row>
    <row r="45" spans="2:14">
      <c r="B45" s="793">
        <v>33</v>
      </c>
      <c r="C45" s="807"/>
      <c r="D45" s="808"/>
      <c r="E45" s="809"/>
      <c r="F45" s="810"/>
      <c r="G45" s="237"/>
      <c r="H45" s="601">
        <f>IF(Consolidado_Geral!$G$133=7.6%,-(0.0165+0.076)*F45,0)</f>
        <v>0</v>
      </c>
      <c r="I45" s="237"/>
      <c r="J45" s="614">
        <f t="shared" si="0"/>
        <v>0</v>
      </c>
      <c r="K45" s="237"/>
      <c r="L45" s="614">
        <f t="shared" si="1"/>
        <v>0</v>
      </c>
      <c r="M45" s="237"/>
      <c r="N45" s="614">
        <f t="shared" si="2"/>
        <v>0</v>
      </c>
    </row>
    <row r="46" spans="2:14">
      <c r="B46" s="793">
        <v>34</v>
      </c>
      <c r="C46" s="807"/>
      <c r="D46" s="808"/>
      <c r="E46" s="809"/>
      <c r="F46" s="810"/>
      <c r="G46" s="237"/>
      <c r="H46" s="601">
        <f>IF(Consolidado_Geral!$G$133=7.6%,-(0.0165+0.076)*F46,0)</f>
        <v>0</v>
      </c>
      <c r="I46" s="237"/>
      <c r="J46" s="614">
        <f t="shared" si="0"/>
        <v>0</v>
      </c>
      <c r="K46" s="237"/>
      <c r="L46" s="614">
        <f t="shared" si="1"/>
        <v>0</v>
      </c>
      <c r="M46" s="237"/>
      <c r="N46" s="614">
        <f t="shared" si="2"/>
        <v>0</v>
      </c>
    </row>
    <row r="47" spans="2:14">
      <c r="B47" s="793">
        <v>35</v>
      </c>
      <c r="C47" s="807"/>
      <c r="D47" s="808"/>
      <c r="E47" s="809"/>
      <c r="F47" s="810"/>
      <c r="G47" s="237"/>
      <c r="H47" s="601">
        <f>IF(Consolidado_Geral!$G$133=7.6%,-(0.0165+0.076)*F47,0)</f>
        <v>0</v>
      </c>
      <c r="I47" s="237"/>
      <c r="J47" s="614">
        <f t="shared" si="0"/>
        <v>0</v>
      </c>
      <c r="K47" s="237"/>
      <c r="L47" s="614">
        <f t="shared" si="1"/>
        <v>0</v>
      </c>
      <c r="M47" s="237"/>
      <c r="N47" s="614">
        <f t="shared" si="2"/>
        <v>0</v>
      </c>
    </row>
    <row r="48" spans="2:14">
      <c r="B48" s="793">
        <v>36</v>
      </c>
      <c r="C48" s="807"/>
      <c r="D48" s="808"/>
      <c r="E48" s="809"/>
      <c r="F48" s="810"/>
      <c r="G48" s="237"/>
      <c r="H48" s="601">
        <f>IF(Consolidado_Geral!$G$133=7.6%,-(0.0165+0.076)*F48,0)</f>
        <v>0</v>
      </c>
      <c r="I48" s="237"/>
      <c r="J48" s="614">
        <f t="shared" si="0"/>
        <v>0</v>
      </c>
      <c r="K48" s="237"/>
      <c r="L48" s="614">
        <f t="shared" si="1"/>
        <v>0</v>
      </c>
      <c r="M48" s="237"/>
      <c r="N48" s="614">
        <f t="shared" si="2"/>
        <v>0</v>
      </c>
    </row>
    <row r="49" spans="2:14">
      <c r="B49" s="793">
        <v>37</v>
      </c>
      <c r="C49" s="807"/>
      <c r="D49" s="808"/>
      <c r="E49" s="809"/>
      <c r="F49" s="810"/>
      <c r="G49" s="237"/>
      <c r="H49" s="601">
        <f>IF(Consolidado_Geral!$G$133=7.6%,-(0.0165+0.076)*F49,0)</f>
        <v>0</v>
      </c>
      <c r="I49" s="237"/>
      <c r="J49" s="614">
        <f t="shared" si="0"/>
        <v>0</v>
      </c>
      <c r="K49" s="237"/>
      <c r="L49" s="614">
        <f t="shared" si="1"/>
        <v>0</v>
      </c>
      <c r="M49" s="237"/>
      <c r="N49" s="614">
        <f t="shared" si="2"/>
        <v>0</v>
      </c>
    </row>
    <row r="50" spans="2:14">
      <c r="B50" s="793">
        <v>38</v>
      </c>
      <c r="C50" s="807"/>
      <c r="D50" s="808"/>
      <c r="E50" s="809"/>
      <c r="F50" s="810"/>
      <c r="G50" s="237"/>
      <c r="H50" s="601">
        <f>IF(Consolidado_Geral!$G$133=7.6%,-(0.0165+0.076)*F50,0)</f>
        <v>0</v>
      </c>
      <c r="I50" s="237"/>
      <c r="J50" s="614">
        <f t="shared" si="0"/>
        <v>0</v>
      </c>
      <c r="K50" s="237"/>
      <c r="L50" s="614">
        <f t="shared" si="1"/>
        <v>0</v>
      </c>
      <c r="M50" s="237"/>
      <c r="N50" s="614">
        <f t="shared" si="2"/>
        <v>0</v>
      </c>
    </row>
    <row r="51" spans="2:14">
      <c r="B51" s="793">
        <v>39</v>
      </c>
      <c r="C51" s="807"/>
      <c r="D51" s="808"/>
      <c r="E51" s="809"/>
      <c r="F51" s="810"/>
      <c r="G51" s="237"/>
      <c r="H51" s="601">
        <f>IF(Consolidado_Geral!$G$133=7.6%,-(0.0165+0.076)*F51,0)</f>
        <v>0</v>
      </c>
      <c r="I51" s="237"/>
      <c r="J51" s="614">
        <f t="shared" si="0"/>
        <v>0</v>
      </c>
      <c r="K51" s="237"/>
      <c r="L51" s="614">
        <f t="shared" si="1"/>
        <v>0</v>
      </c>
      <c r="M51" s="237"/>
      <c r="N51" s="614">
        <f t="shared" si="2"/>
        <v>0</v>
      </c>
    </row>
    <row r="52" spans="2:14">
      <c r="B52" s="793">
        <v>40</v>
      </c>
      <c r="C52" s="807"/>
      <c r="D52" s="808"/>
      <c r="E52" s="809"/>
      <c r="F52" s="810"/>
      <c r="G52" s="237"/>
      <c r="H52" s="601">
        <f>IF(Consolidado_Geral!$G$133=7.6%,-(0.0165+0.076)*F52,0)</f>
        <v>0</v>
      </c>
      <c r="I52" s="237"/>
      <c r="J52" s="614">
        <f t="shared" si="0"/>
        <v>0</v>
      </c>
      <c r="K52" s="237"/>
      <c r="L52" s="614">
        <f t="shared" si="1"/>
        <v>0</v>
      </c>
      <c r="M52" s="237"/>
      <c r="N52" s="614">
        <f t="shared" si="2"/>
        <v>0</v>
      </c>
    </row>
    <row r="53" spans="2:14">
      <c r="B53" s="793">
        <v>41</v>
      </c>
      <c r="C53" s="807"/>
      <c r="D53" s="808"/>
      <c r="E53" s="809"/>
      <c r="F53" s="810"/>
      <c r="G53" s="237"/>
      <c r="H53" s="601">
        <f>IF(Consolidado_Geral!$G$133=7.6%,-(0.0165+0.076)*F53,0)</f>
        <v>0</v>
      </c>
      <c r="I53" s="237"/>
      <c r="J53" s="614">
        <f t="shared" si="0"/>
        <v>0</v>
      </c>
      <c r="K53" s="237"/>
      <c r="L53" s="614">
        <f t="shared" si="1"/>
        <v>0</v>
      </c>
      <c r="M53" s="237"/>
      <c r="N53" s="614">
        <f t="shared" si="2"/>
        <v>0</v>
      </c>
    </row>
    <row r="54" spans="2:14">
      <c r="B54" s="793">
        <v>42</v>
      </c>
      <c r="C54" s="807"/>
      <c r="D54" s="808"/>
      <c r="E54" s="809"/>
      <c r="F54" s="810"/>
      <c r="G54" s="237"/>
      <c r="H54" s="601">
        <f>IF(Consolidado_Geral!$G$133=7.6%,-(0.0165+0.076)*F54,0)</f>
        <v>0</v>
      </c>
      <c r="I54" s="237"/>
      <c r="J54" s="614">
        <f t="shared" si="0"/>
        <v>0</v>
      </c>
      <c r="K54" s="237"/>
      <c r="L54" s="614">
        <f t="shared" si="1"/>
        <v>0</v>
      </c>
      <c r="M54" s="237"/>
      <c r="N54" s="614">
        <f t="shared" si="2"/>
        <v>0</v>
      </c>
    </row>
    <row r="55" spans="2:14">
      <c r="B55" s="793">
        <v>43</v>
      </c>
      <c r="C55" s="807"/>
      <c r="D55" s="808"/>
      <c r="E55" s="809"/>
      <c r="F55" s="810"/>
      <c r="G55" s="237"/>
      <c r="H55" s="601">
        <f>IF(Consolidado_Geral!$G$133=7.6%,-(0.0165+0.076)*F55,0)</f>
        <v>0</v>
      </c>
      <c r="I55" s="237"/>
      <c r="J55" s="614">
        <f t="shared" si="0"/>
        <v>0</v>
      </c>
      <c r="K55" s="237"/>
      <c r="L55" s="614">
        <f t="shared" si="1"/>
        <v>0</v>
      </c>
      <c r="M55" s="237"/>
      <c r="N55" s="614">
        <f t="shared" si="2"/>
        <v>0</v>
      </c>
    </row>
    <row r="56" spans="2:14">
      <c r="B56" s="793">
        <v>44</v>
      </c>
      <c r="C56" s="807"/>
      <c r="D56" s="808"/>
      <c r="E56" s="809"/>
      <c r="F56" s="810"/>
      <c r="G56" s="237"/>
      <c r="H56" s="601">
        <f>IF(Consolidado_Geral!$G$133=7.6%,-(0.0165+0.076)*F56,0)</f>
        <v>0</v>
      </c>
      <c r="I56" s="237"/>
      <c r="J56" s="614">
        <f t="shared" si="0"/>
        <v>0</v>
      </c>
      <c r="K56" s="237"/>
      <c r="L56" s="614">
        <f t="shared" si="1"/>
        <v>0</v>
      </c>
      <c r="M56" s="237"/>
      <c r="N56" s="614">
        <f t="shared" si="2"/>
        <v>0</v>
      </c>
    </row>
    <row r="57" spans="2:14">
      <c r="B57" s="793">
        <v>45</v>
      </c>
      <c r="C57" s="807"/>
      <c r="D57" s="808"/>
      <c r="E57" s="809"/>
      <c r="F57" s="810"/>
      <c r="G57" s="237"/>
      <c r="H57" s="601">
        <f>IF(Consolidado_Geral!$G$133=7.6%,-(0.0165+0.076)*F57,0)</f>
        <v>0</v>
      </c>
      <c r="I57" s="237"/>
      <c r="J57" s="614">
        <f t="shared" si="0"/>
        <v>0</v>
      </c>
      <c r="K57" s="237"/>
      <c r="L57" s="614">
        <f t="shared" si="1"/>
        <v>0</v>
      </c>
      <c r="M57" s="237"/>
      <c r="N57" s="614">
        <f t="shared" si="2"/>
        <v>0</v>
      </c>
    </row>
    <row r="58" spans="2:14">
      <c r="B58" s="793">
        <v>46</v>
      </c>
      <c r="C58" s="807"/>
      <c r="D58" s="808"/>
      <c r="E58" s="809"/>
      <c r="F58" s="810"/>
      <c r="G58" s="237"/>
      <c r="H58" s="601">
        <f>IF(Consolidado_Geral!$G$133=7.6%,-(0.0165+0.076)*F58,0)</f>
        <v>0</v>
      </c>
      <c r="I58" s="237"/>
      <c r="J58" s="614">
        <f t="shared" si="0"/>
        <v>0</v>
      </c>
      <c r="K58" s="237"/>
      <c r="L58" s="614">
        <f t="shared" si="1"/>
        <v>0</v>
      </c>
      <c r="M58" s="237"/>
      <c r="N58" s="614">
        <f t="shared" si="2"/>
        <v>0</v>
      </c>
    </row>
    <row r="59" spans="2:14">
      <c r="B59" s="793">
        <v>47</v>
      </c>
      <c r="C59" s="807"/>
      <c r="D59" s="808"/>
      <c r="E59" s="809"/>
      <c r="F59" s="810"/>
      <c r="G59" s="237"/>
      <c r="H59" s="601">
        <f>IF(Consolidado_Geral!$G$133=7.6%,-(0.0165+0.076)*F59,0)</f>
        <v>0</v>
      </c>
      <c r="I59" s="237"/>
      <c r="J59" s="614">
        <f t="shared" si="0"/>
        <v>0</v>
      </c>
      <c r="K59" s="237"/>
      <c r="L59" s="614">
        <f t="shared" si="1"/>
        <v>0</v>
      </c>
      <c r="M59" s="237"/>
      <c r="N59" s="614">
        <f t="shared" si="2"/>
        <v>0</v>
      </c>
    </row>
    <row r="60" spans="2:14">
      <c r="B60" s="793">
        <v>48</v>
      </c>
      <c r="C60" s="807"/>
      <c r="D60" s="808"/>
      <c r="E60" s="809"/>
      <c r="F60" s="810"/>
      <c r="G60" s="237"/>
      <c r="H60" s="601">
        <f>IF(Consolidado_Geral!$G$133=7.6%,-(0.0165+0.076)*F60,0)</f>
        <v>0</v>
      </c>
      <c r="I60" s="237"/>
      <c r="J60" s="614">
        <f t="shared" si="0"/>
        <v>0</v>
      </c>
      <c r="K60" s="237"/>
      <c r="L60" s="614">
        <f t="shared" si="1"/>
        <v>0</v>
      </c>
      <c r="M60" s="237"/>
      <c r="N60" s="614">
        <f t="shared" si="2"/>
        <v>0</v>
      </c>
    </row>
    <row r="61" spans="2:14">
      <c r="B61" s="793">
        <v>49</v>
      </c>
      <c r="C61" s="807"/>
      <c r="D61" s="808"/>
      <c r="E61" s="809"/>
      <c r="F61" s="810"/>
      <c r="G61" s="237"/>
      <c r="H61" s="601">
        <f>IF(Consolidado_Geral!$G$133=7.6%,-(0.0165+0.076)*F61,0)</f>
        <v>0</v>
      </c>
      <c r="I61" s="237"/>
      <c r="J61" s="614">
        <f t="shared" si="0"/>
        <v>0</v>
      </c>
      <c r="K61" s="237"/>
      <c r="L61" s="614">
        <f t="shared" si="1"/>
        <v>0</v>
      </c>
      <c r="M61" s="237"/>
      <c r="N61" s="614">
        <f t="shared" si="2"/>
        <v>0</v>
      </c>
    </row>
    <row r="62" spans="2:14">
      <c r="B62" s="793">
        <v>50</v>
      </c>
      <c r="C62" s="807"/>
      <c r="D62" s="808"/>
      <c r="E62" s="809"/>
      <c r="F62" s="810"/>
      <c r="G62" s="237"/>
      <c r="H62" s="601">
        <f>IF(Consolidado_Geral!$G$133=7.6%,-(0.0165+0.076)*F62,0)</f>
        <v>0</v>
      </c>
      <c r="I62" s="237"/>
      <c r="J62" s="614">
        <f t="shared" si="0"/>
        <v>0</v>
      </c>
      <c r="K62" s="237"/>
      <c r="L62" s="614">
        <f t="shared" si="1"/>
        <v>0</v>
      </c>
      <c r="M62" s="237"/>
      <c r="N62" s="614">
        <f t="shared" si="2"/>
        <v>0</v>
      </c>
    </row>
    <row r="63" spans="2:14">
      <c r="B63" s="793">
        <v>51</v>
      </c>
      <c r="C63" s="807"/>
      <c r="D63" s="808"/>
      <c r="E63" s="809"/>
      <c r="F63" s="810"/>
      <c r="G63" s="237"/>
      <c r="H63" s="601">
        <f>IF(Consolidado_Geral!$G$133=7.6%,-(0.0165+0.076)*F63,0)</f>
        <v>0</v>
      </c>
      <c r="I63" s="237"/>
      <c r="J63" s="614">
        <f t="shared" si="0"/>
        <v>0</v>
      </c>
      <c r="K63" s="237"/>
      <c r="L63" s="614">
        <f t="shared" si="1"/>
        <v>0</v>
      </c>
      <c r="M63" s="237"/>
      <c r="N63" s="614">
        <f t="shared" si="2"/>
        <v>0</v>
      </c>
    </row>
    <row r="64" spans="2:14">
      <c r="B64" s="793">
        <v>52</v>
      </c>
      <c r="C64" s="807"/>
      <c r="D64" s="808"/>
      <c r="E64" s="809"/>
      <c r="F64" s="810"/>
      <c r="G64" s="237"/>
      <c r="H64" s="601">
        <f>IF(Consolidado_Geral!$G$133=7.6%,-(0.0165+0.076)*F64,0)</f>
        <v>0</v>
      </c>
      <c r="I64" s="237"/>
      <c r="J64" s="614">
        <f t="shared" si="0"/>
        <v>0</v>
      </c>
      <c r="K64" s="237"/>
      <c r="L64" s="614">
        <f t="shared" si="1"/>
        <v>0</v>
      </c>
      <c r="M64" s="237"/>
      <c r="N64" s="614">
        <f t="shared" si="2"/>
        <v>0</v>
      </c>
    </row>
    <row r="65" spans="2:14">
      <c r="B65" s="793">
        <v>53</v>
      </c>
      <c r="C65" s="807"/>
      <c r="D65" s="808"/>
      <c r="E65" s="809"/>
      <c r="F65" s="810"/>
      <c r="G65" s="237"/>
      <c r="H65" s="601">
        <f>IF(Consolidado_Geral!$G$133=7.6%,-(0.0165+0.076)*F65,0)</f>
        <v>0</v>
      </c>
      <c r="I65" s="237"/>
      <c r="J65" s="614">
        <f t="shared" si="0"/>
        <v>0</v>
      </c>
      <c r="K65" s="237"/>
      <c r="L65" s="614">
        <f t="shared" si="1"/>
        <v>0</v>
      </c>
      <c r="M65" s="237"/>
      <c r="N65" s="614">
        <f t="shared" si="2"/>
        <v>0</v>
      </c>
    </row>
    <row r="66" spans="2:14">
      <c r="B66" s="793">
        <v>54</v>
      </c>
      <c r="C66" s="807"/>
      <c r="D66" s="808"/>
      <c r="E66" s="809"/>
      <c r="F66" s="810"/>
      <c r="G66" s="237"/>
      <c r="H66" s="601">
        <f>IF(Consolidado_Geral!$G$133=7.6%,-(0.0165+0.076)*F66,0)</f>
        <v>0</v>
      </c>
      <c r="I66" s="237"/>
      <c r="J66" s="614">
        <f t="shared" si="0"/>
        <v>0</v>
      </c>
      <c r="K66" s="237"/>
      <c r="L66" s="614">
        <f t="shared" si="1"/>
        <v>0</v>
      </c>
      <c r="M66" s="237"/>
      <c r="N66" s="614">
        <f t="shared" si="2"/>
        <v>0</v>
      </c>
    </row>
    <row r="67" spans="2:14">
      <c r="B67" s="793">
        <v>55</v>
      </c>
      <c r="C67" s="807"/>
      <c r="D67" s="808"/>
      <c r="E67" s="809"/>
      <c r="F67" s="810"/>
      <c r="G67" s="237"/>
      <c r="H67" s="601">
        <f>IF(Consolidado_Geral!$G$133=7.6%,-(0.0165+0.076)*F67,0)</f>
        <v>0</v>
      </c>
      <c r="I67" s="237"/>
      <c r="J67" s="614">
        <f t="shared" si="0"/>
        <v>0</v>
      </c>
      <c r="K67" s="237"/>
      <c r="L67" s="614">
        <f t="shared" si="1"/>
        <v>0</v>
      </c>
      <c r="M67" s="237"/>
      <c r="N67" s="614">
        <f t="shared" si="2"/>
        <v>0</v>
      </c>
    </row>
    <row r="68" spans="2:14">
      <c r="B68" s="793">
        <v>56</v>
      </c>
      <c r="C68" s="807"/>
      <c r="D68" s="808"/>
      <c r="E68" s="809"/>
      <c r="F68" s="810"/>
      <c r="G68" s="237"/>
      <c r="H68" s="601">
        <f>IF(Consolidado_Geral!$G$133=7.6%,-(0.0165+0.076)*F68,0)</f>
        <v>0</v>
      </c>
      <c r="I68" s="237"/>
      <c r="J68" s="614">
        <f t="shared" si="0"/>
        <v>0</v>
      </c>
      <c r="K68" s="237"/>
      <c r="L68" s="614">
        <f t="shared" si="1"/>
        <v>0</v>
      </c>
      <c r="M68" s="237"/>
      <c r="N68" s="614">
        <f t="shared" si="2"/>
        <v>0</v>
      </c>
    </row>
    <row r="69" spans="2:14">
      <c r="B69" s="793">
        <v>57</v>
      </c>
      <c r="C69" s="807"/>
      <c r="D69" s="808"/>
      <c r="E69" s="809"/>
      <c r="F69" s="810"/>
      <c r="G69" s="237"/>
      <c r="H69" s="601">
        <f>IF(Consolidado_Geral!$G$133=7.6%,-(0.0165+0.076)*F69,0)</f>
        <v>0</v>
      </c>
      <c r="I69" s="237"/>
      <c r="J69" s="614">
        <f t="shared" si="0"/>
        <v>0</v>
      </c>
      <c r="K69" s="237"/>
      <c r="L69" s="614">
        <f t="shared" si="1"/>
        <v>0</v>
      </c>
      <c r="M69" s="237"/>
      <c r="N69" s="614">
        <f t="shared" si="2"/>
        <v>0</v>
      </c>
    </row>
    <row r="70" spans="2:14">
      <c r="B70" s="793">
        <v>58</v>
      </c>
      <c r="C70" s="807"/>
      <c r="D70" s="808"/>
      <c r="E70" s="809"/>
      <c r="F70" s="810"/>
      <c r="G70" s="237"/>
      <c r="H70" s="601">
        <f>IF(Consolidado_Geral!$G$133=7.6%,-(0.0165+0.076)*F70,0)</f>
        <v>0</v>
      </c>
      <c r="I70" s="237"/>
      <c r="J70" s="614">
        <f t="shared" si="0"/>
        <v>0</v>
      </c>
      <c r="K70" s="237"/>
      <c r="L70" s="614">
        <f t="shared" si="1"/>
        <v>0</v>
      </c>
      <c r="M70" s="237"/>
      <c r="N70" s="614">
        <f t="shared" si="2"/>
        <v>0</v>
      </c>
    </row>
    <row r="71" spans="2:14">
      <c r="B71" s="793">
        <v>59</v>
      </c>
      <c r="C71" s="807"/>
      <c r="D71" s="808"/>
      <c r="E71" s="809"/>
      <c r="F71" s="810"/>
      <c r="G71" s="237"/>
      <c r="H71" s="601">
        <f>IF(Consolidado_Geral!$G$133=7.6%,-(0.0165+0.076)*F71,0)</f>
        <v>0</v>
      </c>
      <c r="I71" s="237"/>
      <c r="J71" s="614">
        <f t="shared" si="0"/>
        <v>0</v>
      </c>
      <c r="K71" s="237"/>
      <c r="L71" s="614">
        <f t="shared" si="1"/>
        <v>0</v>
      </c>
      <c r="M71" s="237"/>
      <c r="N71" s="614">
        <f t="shared" si="2"/>
        <v>0</v>
      </c>
    </row>
    <row r="72" spans="2:14">
      <c r="B72" s="793">
        <v>60</v>
      </c>
      <c r="C72" s="807"/>
      <c r="D72" s="808"/>
      <c r="E72" s="809"/>
      <c r="F72" s="810"/>
      <c r="G72" s="237"/>
      <c r="H72" s="601">
        <f>IF(Consolidado_Geral!$G$133=7.6%,-(0.0165+0.076)*F72,0)</f>
        <v>0</v>
      </c>
      <c r="I72" s="237"/>
      <c r="J72" s="614">
        <f t="shared" si="0"/>
        <v>0</v>
      </c>
      <c r="K72" s="237"/>
      <c r="L72" s="614">
        <f t="shared" si="1"/>
        <v>0</v>
      </c>
      <c r="M72" s="237"/>
      <c r="N72" s="614">
        <f t="shared" si="2"/>
        <v>0</v>
      </c>
    </row>
    <row r="73" spans="2:14">
      <c r="B73" s="793">
        <v>61</v>
      </c>
      <c r="C73" s="807"/>
      <c r="D73" s="808"/>
      <c r="E73" s="809"/>
      <c r="F73" s="810"/>
      <c r="G73" s="237"/>
      <c r="H73" s="601">
        <f>IF(Consolidado_Geral!$G$133=7.6%,-(0.0165+0.076)*F73,0)</f>
        <v>0</v>
      </c>
      <c r="I73" s="237"/>
      <c r="J73" s="614">
        <f t="shared" si="0"/>
        <v>0</v>
      </c>
      <c r="K73" s="237"/>
      <c r="L73" s="614">
        <f t="shared" si="1"/>
        <v>0</v>
      </c>
      <c r="M73" s="237"/>
      <c r="N73" s="614">
        <f t="shared" si="2"/>
        <v>0</v>
      </c>
    </row>
    <row r="74" spans="2:14">
      <c r="B74" s="793">
        <v>62</v>
      </c>
      <c r="C74" s="807"/>
      <c r="D74" s="808"/>
      <c r="E74" s="809"/>
      <c r="F74" s="810"/>
      <c r="G74" s="237"/>
      <c r="H74" s="601">
        <f>IF(Consolidado_Geral!$G$133=7.6%,-(0.0165+0.076)*F74,0)</f>
        <v>0</v>
      </c>
      <c r="I74" s="237"/>
      <c r="J74" s="614">
        <f t="shared" si="0"/>
        <v>0</v>
      </c>
      <c r="K74" s="237"/>
      <c r="L74" s="614">
        <f t="shared" si="1"/>
        <v>0</v>
      </c>
      <c r="M74" s="237"/>
      <c r="N74" s="614">
        <f t="shared" si="2"/>
        <v>0</v>
      </c>
    </row>
    <row r="75" spans="2:14">
      <c r="B75" s="793">
        <v>63</v>
      </c>
      <c r="C75" s="807"/>
      <c r="D75" s="808"/>
      <c r="E75" s="809"/>
      <c r="F75" s="810"/>
      <c r="G75" s="237"/>
      <c r="H75" s="601">
        <f>IF(Consolidado_Geral!$G$133=7.6%,-(0.0165+0.076)*F75,0)</f>
        <v>0</v>
      </c>
      <c r="I75" s="237"/>
      <c r="J75" s="614">
        <f t="shared" si="0"/>
        <v>0</v>
      </c>
      <c r="K75" s="237"/>
      <c r="L75" s="614">
        <f t="shared" si="1"/>
        <v>0</v>
      </c>
      <c r="M75" s="237"/>
      <c r="N75" s="614">
        <f t="shared" si="2"/>
        <v>0</v>
      </c>
    </row>
    <row r="76" spans="2:14">
      <c r="B76" s="793">
        <v>64</v>
      </c>
      <c r="C76" s="807"/>
      <c r="D76" s="808"/>
      <c r="E76" s="809"/>
      <c r="F76" s="810"/>
      <c r="G76" s="237"/>
      <c r="H76" s="601">
        <f>IF(Consolidado_Geral!$G$133=7.6%,-(0.0165+0.076)*F76,0)</f>
        <v>0</v>
      </c>
      <c r="I76" s="237"/>
      <c r="J76" s="614">
        <f t="shared" si="0"/>
        <v>0</v>
      </c>
      <c r="K76" s="237"/>
      <c r="L76" s="614">
        <f t="shared" si="1"/>
        <v>0</v>
      </c>
      <c r="M76" s="237"/>
      <c r="N76" s="614">
        <f t="shared" si="2"/>
        <v>0</v>
      </c>
    </row>
    <row r="77" spans="2:14">
      <c r="B77" s="793">
        <v>65</v>
      </c>
      <c r="C77" s="807"/>
      <c r="D77" s="808"/>
      <c r="E77" s="809"/>
      <c r="F77" s="810"/>
      <c r="G77" s="237"/>
      <c r="H77" s="601">
        <f>IF(Consolidado_Geral!$G$133=7.6%,-(0.0165+0.076)*F77,0)</f>
        <v>0</v>
      </c>
      <c r="I77" s="237"/>
      <c r="J77" s="614">
        <f t="shared" ref="J77:J140" si="3">F77+H77</f>
        <v>0</v>
      </c>
      <c r="K77" s="237"/>
      <c r="L77" s="614">
        <f t="shared" ref="L77:L140" si="4">J77*E77</f>
        <v>0</v>
      </c>
      <c r="M77" s="237"/>
      <c r="N77" s="614">
        <f t="shared" ref="N77:N140" si="5">L77*12</f>
        <v>0</v>
      </c>
    </row>
    <row r="78" spans="2:14">
      <c r="B78" s="793">
        <v>66</v>
      </c>
      <c r="C78" s="807"/>
      <c r="D78" s="808"/>
      <c r="E78" s="809"/>
      <c r="F78" s="810"/>
      <c r="G78" s="237"/>
      <c r="H78" s="601">
        <f>IF(Consolidado_Geral!$G$133=7.6%,-(0.0165+0.076)*F78,0)</f>
        <v>0</v>
      </c>
      <c r="I78" s="237"/>
      <c r="J78" s="614">
        <f t="shared" si="3"/>
        <v>0</v>
      </c>
      <c r="K78" s="237"/>
      <c r="L78" s="614">
        <f t="shared" si="4"/>
        <v>0</v>
      </c>
      <c r="M78" s="237"/>
      <c r="N78" s="614">
        <f t="shared" si="5"/>
        <v>0</v>
      </c>
    </row>
    <row r="79" spans="2:14">
      <c r="B79" s="793">
        <v>67</v>
      </c>
      <c r="C79" s="807"/>
      <c r="D79" s="808"/>
      <c r="E79" s="809"/>
      <c r="F79" s="810"/>
      <c r="G79" s="237"/>
      <c r="H79" s="601">
        <f>IF(Consolidado_Geral!$G$133=7.6%,-(0.0165+0.076)*F79,0)</f>
        <v>0</v>
      </c>
      <c r="I79" s="237"/>
      <c r="J79" s="614">
        <f t="shared" si="3"/>
        <v>0</v>
      </c>
      <c r="K79" s="237"/>
      <c r="L79" s="614">
        <f t="shared" si="4"/>
        <v>0</v>
      </c>
      <c r="M79" s="237"/>
      <c r="N79" s="614">
        <f t="shared" si="5"/>
        <v>0</v>
      </c>
    </row>
    <row r="80" spans="2:14">
      <c r="B80" s="793">
        <v>68</v>
      </c>
      <c r="C80" s="807"/>
      <c r="D80" s="808"/>
      <c r="E80" s="809"/>
      <c r="F80" s="810"/>
      <c r="G80" s="237"/>
      <c r="H80" s="601">
        <f>IF(Consolidado_Geral!$G$133=7.6%,-(0.0165+0.076)*F80,0)</f>
        <v>0</v>
      </c>
      <c r="I80" s="237"/>
      <c r="J80" s="614">
        <f t="shared" si="3"/>
        <v>0</v>
      </c>
      <c r="K80" s="237"/>
      <c r="L80" s="614">
        <f t="shared" si="4"/>
        <v>0</v>
      </c>
      <c r="M80" s="237"/>
      <c r="N80" s="614">
        <f t="shared" si="5"/>
        <v>0</v>
      </c>
    </row>
    <row r="81" spans="2:14">
      <c r="B81" s="793">
        <v>69</v>
      </c>
      <c r="C81" s="807"/>
      <c r="D81" s="808"/>
      <c r="E81" s="809"/>
      <c r="F81" s="810"/>
      <c r="G81" s="237"/>
      <c r="H81" s="601">
        <f>IF(Consolidado_Geral!$G$133=7.6%,-(0.0165+0.076)*F81,0)</f>
        <v>0</v>
      </c>
      <c r="I81" s="237"/>
      <c r="J81" s="614">
        <f t="shared" si="3"/>
        <v>0</v>
      </c>
      <c r="K81" s="237"/>
      <c r="L81" s="614">
        <f t="shared" si="4"/>
        <v>0</v>
      </c>
      <c r="M81" s="237"/>
      <c r="N81" s="614">
        <f t="shared" si="5"/>
        <v>0</v>
      </c>
    </row>
    <row r="82" spans="2:14">
      <c r="B82" s="793">
        <v>70</v>
      </c>
      <c r="C82" s="807"/>
      <c r="D82" s="808"/>
      <c r="E82" s="809"/>
      <c r="F82" s="810"/>
      <c r="G82" s="237"/>
      <c r="H82" s="601">
        <f>IF(Consolidado_Geral!$G$133=7.6%,-(0.0165+0.076)*F82,0)</f>
        <v>0</v>
      </c>
      <c r="I82" s="237"/>
      <c r="J82" s="614">
        <f t="shared" si="3"/>
        <v>0</v>
      </c>
      <c r="K82" s="237"/>
      <c r="L82" s="614">
        <f t="shared" si="4"/>
        <v>0</v>
      </c>
      <c r="M82" s="237"/>
      <c r="N82" s="614">
        <f t="shared" si="5"/>
        <v>0</v>
      </c>
    </row>
    <row r="83" spans="2:14">
      <c r="B83" s="793">
        <v>71</v>
      </c>
      <c r="C83" s="807"/>
      <c r="D83" s="808"/>
      <c r="E83" s="809"/>
      <c r="F83" s="810"/>
      <c r="G83" s="237"/>
      <c r="H83" s="601">
        <f>IF(Consolidado_Geral!$G$133=7.6%,-(0.0165+0.076)*F83,0)</f>
        <v>0</v>
      </c>
      <c r="I83" s="237"/>
      <c r="J83" s="614">
        <f t="shared" si="3"/>
        <v>0</v>
      </c>
      <c r="K83" s="237"/>
      <c r="L83" s="614">
        <f t="shared" si="4"/>
        <v>0</v>
      </c>
      <c r="M83" s="237"/>
      <c r="N83" s="614">
        <f t="shared" si="5"/>
        <v>0</v>
      </c>
    </row>
    <row r="84" spans="2:14">
      <c r="B84" s="793">
        <v>72</v>
      </c>
      <c r="C84" s="807"/>
      <c r="D84" s="808"/>
      <c r="E84" s="809"/>
      <c r="F84" s="810"/>
      <c r="G84" s="237"/>
      <c r="H84" s="601">
        <f>IF(Consolidado_Geral!$G$133=7.6%,-(0.0165+0.076)*F84,0)</f>
        <v>0</v>
      </c>
      <c r="I84" s="237"/>
      <c r="J84" s="614">
        <f t="shared" si="3"/>
        <v>0</v>
      </c>
      <c r="K84" s="237"/>
      <c r="L84" s="614">
        <f t="shared" si="4"/>
        <v>0</v>
      </c>
      <c r="M84" s="237"/>
      <c r="N84" s="614">
        <f t="shared" si="5"/>
        <v>0</v>
      </c>
    </row>
    <row r="85" spans="2:14">
      <c r="B85" s="793">
        <v>73</v>
      </c>
      <c r="C85" s="807"/>
      <c r="D85" s="808"/>
      <c r="E85" s="809"/>
      <c r="F85" s="810"/>
      <c r="G85" s="237"/>
      <c r="H85" s="601">
        <f>IF(Consolidado_Geral!$G$133=7.6%,-(0.0165+0.076)*F85,0)</f>
        <v>0</v>
      </c>
      <c r="I85" s="237"/>
      <c r="J85" s="614">
        <f t="shared" si="3"/>
        <v>0</v>
      </c>
      <c r="K85" s="237"/>
      <c r="L85" s="614">
        <f t="shared" si="4"/>
        <v>0</v>
      </c>
      <c r="M85" s="237"/>
      <c r="N85" s="614">
        <f t="shared" si="5"/>
        <v>0</v>
      </c>
    </row>
    <row r="86" spans="2:14">
      <c r="B86" s="793">
        <v>74</v>
      </c>
      <c r="C86" s="807"/>
      <c r="D86" s="808"/>
      <c r="E86" s="809"/>
      <c r="F86" s="810"/>
      <c r="G86" s="237"/>
      <c r="H86" s="601">
        <f>IF(Consolidado_Geral!$G$133=7.6%,-(0.0165+0.076)*F86,0)</f>
        <v>0</v>
      </c>
      <c r="I86" s="237"/>
      <c r="J86" s="614">
        <f t="shared" si="3"/>
        <v>0</v>
      </c>
      <c r="K86" s="237"/>
      <c r="L86" s="614">
        <f t="shared" si="4"/>
        <v>0</v>
      </c>
      <c r="M86" s="237"/>
      <c r="N86" s="614">
        <f t="shared" si="5"/>
        <v>0</v>
      </c>
    </row>
    <row r="87" spans="2:14">
      <c r="B87" s="793">
        <v>75</v>
      </c>
      <c r="C87" s="807"/>
      <c r="D87" s="808"/>
      <c r="E87" s="809"/>
      <c r="F87" s="810"/>
      <c r="G87" s="237"/>
      <c r="H87" s="601">
        <f>IF(Consolidado_Geral!$G$133=7.6%,-(0.0165+0.076)*F87,0)</f>
        <v>0</v>
      </c>
      <c r="I87" s="237"/>
      <c r="J87" s="614">
        <f t="shared" si="3"/>
        <v>0</v>
      </c>
      <c r="K87" s="237"/>
      <c r="L87" s="614">
        <f t="shared" si="4"/>
        <v>0</v>
      </c>
      <c r="M87" s="237"/>
      <c r="N87" s="614">
        <f t="shared" si="5"/>
        <v>0</v>
      </c>
    </row>
    <row r="88" spans="2:14">
      <c r="B88" s="793">
        <v>76</v>
      </c>
      <c r="C88" s="807"/>
      <c r="D88" s="808"/>
      <c r="E88" s="809"/>
      <c r="F88" s="810"/>
      <c r="G88" s="237"/>
      <c r="H88" s="601">
        <f>IF(Consolidado_Geral!$G$133=7.6%,-(0.0165+0.076)*F88,0)</f>
        <v>0</v>
      </c>
      <c r="I88" s="237"/>
      <c r="J88" s="614">
        <f t="shared" si="3"/>
        <v>0</v>
      </c>
      <c r="K88" s="237"/>
      <c r="L88" s="614">
        <f t="shared" si="4"/>
        <v>0</v>
      </c>
      <c r="M88" s="237"/>
      <c r="N88" s="614">
        <f t="shared" si="5"/>
        <v>0</v>
      </c>
    </row>
    <row r="89" spans="2:14">
      <c r="B89" s="793">
        <v>77</v>
      </c>
      <c r="C89" s="807"/>
      <c r="D89" s="808"/>
      <c r="E89" s="809"/>
      <c r="F89" s="810"/>
      <c r="G89" s="237"/>
      <c r="H89" s="601">
        <f>IF(Consolidado_Geral!$G$133=7.6%,-(0.0165+0.076)*F89,0)</f>
        <v>0</v>
      </c>
      <c r="I89" s="237"/>
      <c r="J89" s="614">
        <f t="shared" si="3"/>
        <v>0</v>
      </c>
      <c r="K89" s="237"/>
      <c r="L89" s="614">
        <f t="shared" si="4"/>
        <v>0</v>
      </c>
      <c r="M89" s="237"/>
      <c r="N89" s="614">
        <f t="shared" si="5"/>
        <v>0</v>
      </c>
    </row>
    <row r="90" spans="2:14">
      <c r="B90" s="793">
        <v>78</v>
      </c>
      <c r="C90" s="807"/>
      <c r="D90" s="808"/>
      <c r="E90" s="809"/>
      <c r="F90" s="810"/>
      <c r="G90" s="237"/>
      <c r="H90" s="601">
        <f>IF(Consolidado_Geral!$G$133=7.6%,-(0.0165+0.076)*F90,0)</f>
        <v>0</v>
      </c>
      <c r="I90" s="237"/>
      <c r="J90" s="614">
        <f t="shared" si="3"/>
        <v>0</v>
      </c>
      <c r="K90" s="237"/>
      <c r="L90" s="614">
        <f t="shared" si="4"/>
        <v>0</v>
      </c>
      <c r="M90" s="237"/>
      <c r="N90" s="614">
        <f t="shared" si="5"/>
        <v>0</v>
      </c>
    </row>
    <row r="91" spans="2:14">
      <c r="B91" s="793">
        <v>79</v>
      </c>
      <c r="C91" s="807"/>
      <c r="D91" s="808"/>
      <c r="E91" s="809"/>
      <c r="F91" s="810"/>
      <c r="G91" s="237"/>
      <c r="H91" s="601">
        <f>IF(Consolidado_Geral!$G$133=7.6%,-(0.0165+0.076)*F91,0)</f>
        <v>0</v>
      </c>
      <c r="I91" s="237"/>
      <c r="J91" s="614">
        <f t="shared" si="3"/>
        <v>0</v>
      </c>
      <c r="K91" s="237"/>
      <c r="L91" s="614">
        <f t="shared" si="4"/>
        <v>0</v>
      </c>
      <c r="M91" s="237"/>
      <c r="N91" s="614">
        <f t="shared" si="5"/>
        <v>0</v>
      </c>
    </row>
    <row r="92" spans="2:14">
      <c r="B92" s="793">
        <v>80</v>
      </c>
      <c r="C92" s="807"/>
      <c r="D92" s="808"/>
      <c r="E92" s="809"/>
      <c r="F92" s="810"/>
      <c r="G92" s="237"/>
      <c r="H92" s="601">
        <f>IF(Consolidado_Geral!$G$133=7.6%,-(0.0165+0.076)*F92,0)</f>
        <v>0</v>
      </c>
      <c r="I92" s="237"/>
      <c r="J92" s="614">
        <f t="shared" si="3"/>
        <v>0</v>
      </c>
      <c r="K92" s="237"/>
      <c r="L92" s="614">
        <f t="shared" si="4"/>
        <v>0</v>
      </c>
      <c r="M92" s="237"/>
      <c r="N92" s="614">
        <f t="shared" si="5"/>
        <v>0</v>
      </c>
    </row>
    <row r="93" spans="2:14">
      <c r="B93" s="793">
        <v>81</v>
      </c>
      <c r="C93" s="807"/>
      <c r="D93" s="808"/>
      <c r="E93" s="809"/>
      <c r="F93" s="810"/>
      <c r="G93" s="237"/>
      <c r="H93" s="601">
        <f>IF(Consolidado_Geral!$G$133=7.6%,-(0.0165+0.076)*F93,0)</f>
        <v>0</v>
      </c>
      <c r="I93" s="237"/>
      <c r="J93" s="614">
        <f t="shared" si="3"/>
        <v>0</v>
      </c>
      <c r="K93" s="237"/>
      <c r="L93" s="614">
        <f t="shared" si="4"/>
        <v>0</v>
      </c>
      <c r="M93" s="237"/>
      <c r="N93" s="614">
        <f t="shared" si="5"/>
        <v>0</v>
      </c>
    </row>
    <row r="94" spans="2:14">
      <c r="B94" s="793">
        <v>82</v>
      </c>
      <c r="C94" s="807"/>
      <c r="D94" s="808"/>
      <c r="E94" s="809"/>
      <c r="F94" s="810"/>
      <c r="G94" s="237"/>
      <c r="H94" s="601">
        <f>IF(Consolidado_Geral!$G$133=7.6%,-(0.0165+0.076)*F94,0)</f>
        <v>0</v>
      </c>
      <c r="I94" s="237"/>
      <c r="J94" s="614">
        <f t="shared" si="3"/>
        <v>0</v>
      </c>
      <c r="K94" s="237"/>
      <c r="L94" s="614">
        <f t="shared" si="4"/>
        <v>0</v>
      </c>
      <c r="M94" s="237"/>
      <c r="N94" s="614">
        <f t="shared" si="5"/>
        <v>0</v>
      </c>
    </row>
    <row r="95" spans="2:14">
      <c r="B95" s="793">
        <v>83</v>
      </c>
      <c r="C95" s="807"/>
      <c r="D95" s="808"/>
      <c r="E95" s="809"/>
      <c r="F95" s="810"/>
      <c r="G95" s="237"/>
      <c r="H95" s="601">
        <f>IF(Consolidado_Geral!$G$133=7.6%,-(0.0165+0.076)*F95,0)</f>
        <v>0</v>
      </c>
      <c r="I95" s="237"/>
      <c r="J95" s="614">
        <f t="shared" si="3"/>
        <v>0</v>
      </c>
      <c r="K95" s="237"/>
      <c r="L95" s="614">
        <f t="shared" si="4"/>
        <v>0</v>
      </c>
      <c r="M95" s="237"/>
      <c r="N95" s="614">
        <f t="shared" si="5"/>
        <v>0</v>
      </c>
    </row>
    <row r="96" spans="2:14">
      <c r="B96" s="793">
        <v>84</v>
      </c>
      <c r="C96" s="807"/>
      <c r="D96" s="808"/>
      <c r="E96" s="809"/>
      <c r="F96" s="810"/>
      <c r="G96" s="237"/>
      <c r="H96" s="601">
        <f>IF(Consolidado_Geral!$G$133=7.6%,-(0.0165+0.076)*F96,0)</f>
        <v>0</v>
      </c>
      <c r="I96" s="237"/>
      <c r="J96" s="614">
        <f t="shared" si="3"/>
        <v>0</v>
      </c>
      <c r="K96" s="237"/>
      <c r="L96" s="614">
        <f t="shared" si="4"/>
        <v>0</v>
      </c>
      <c r="M96" s="237"/>
      <c r="N96" s="614">
        <f t="shared" si="5"/>
        <v>0</v>
      </c>
    </row>
    <row r="97" spans="2:14">
      <c r="B97" s="793">
        <v>85</v>
      </c>
      <c r="C97" s="807"/>
      <c r="D97" s="808"/>
      <c r="E97" s="809"/>
      <c r="F97" s="810"/>
      <c r="G97" s="237"/>
      <c r="H97" s="601">
        <f>IF(Consolidado_Geral!$G$133=7.6%,-(0.0165+0.076)*F97,0)</f>
        <v>0</v>
      </c>
      <c r="I97" s="237"/>
      <c r="J97" s="614">
        <f t="shared" si="3"/>
        <v>0</v>
      </c>
      <c r="K97" s="237"/>
      <c r="L97" s="614">
        <f t="shared" si="4"/>
        <v>0</v>
      </c>
      <c r="M97" s="237"/>
      <c r="N97" s="614">
        <f t="shared" si="5"/>
        <v>0</v>
      </c>
    </row>
    <row r="98" spans="2:14">
      <c r="B98" s="793">
        <v>86</v>
      </c>
      <c r="C98" s="807"/>
      <c r="D98" s="808"/>
      <c r="E98" s="809"/>
      <c r="F98" s="810"/>
      <c r="G98" s="237"/>
      <c r="H98" s="601">
        <f>IF(Consolidado_Geral!$G$133=7.6%,-(0.0165+0.076)*F98,0)</f>
        <v>0</v>
      </c>
      <c r="I98" s="237"/>
      <c r="J98" s="614">
        <f t="shared" si="3"/>
        <v>0</v>
      </c>
      <c r="K98" s="237"/>
      <c r="L98" s="614">
        <f t="shared" si="4"/>
        <v>0</v>
      </c>
      <c r="M98" s="237"/>
      <c r="N98" s="614">
        <f t="shared" si="5"/>
        <v>0</v>
      </c>
    </row>
    <row r="99" spans="2:14">
      <c r="B99" s="793">
        <v>87</v>
      </c>
      <c r="C99" s="807"/>
      <c r="D99" s="808"/>
      <c r="E99" s="809"/>
      <c r="F99" s="810"/>
      <c r="G99" s="237"/>
      <c r="H99" s="601">
        <f>IF(Consolidado_Geral!$G$133=7.6%,-(0.0165+0.076)*F99,0)</f>
        <v>0</v>
      </c>
      <c r="I99" s="237"/>
      <c r="J99" s="614">
        <f t="shared" si="3"/>
        <v>0</v>
      </c>
      <c r="K99" s="237"/>
      <c r="L99" s="614">
        <f t="shared" si="4"/>
        <v>0</v>
      </c>
      <c r="M99" s="237"/>
      <c r="N99" s="614">
        <f t="shared" si="5"/>
        <v>0</v>
      </c>
    </row>
    <row r="100" spans="2:14">
      <c r="B100" s="793">
        <v>88</v>
      </c>
      <c r="C100" s="807"/>
      <c r="D100" s="808"/>
      <c r="E100" s="809"/>
      <c r="F100" s="810"/>
      <c r="G100" s="237"/>
      <c r="H100" s="601">
        <f>IF(Consolidado_Geral!$G$133=7.6%,-(0.0165+0.076)*F100,0)</f>
        <v>0</v>
      </c>
      <c r="I100" s="237"/>
      <c r="J100" s="614">
        <f t="shared" si="3"/>
        <v>0</v>
      </c>
      <c r="K100" s="237"/>
      <c r="L100" s="614">
        <f t="shared" si="4"/>
        <v>0</v>
      </c>
      <c r="M100" s="237"/>
      <c r="N100" s="614">
        <f t="shared" si="5"/>
        <v>0</v>
      </c>
    </row>
    <row r="101" spans="2:14">
      <c r="B101" s="793">
        <v>89</v>
      </c>
      <c r="C101" s="807"/>
      <c r="D101" s="808"/>
      <c r="E101" s="809"/>
      <c r="F101" s="810"/>
      <c r="G101" s="237"/>
      <c r="H101" s="601">
        <f>IF(Consolidado_Geral!$G$133=7.6%,-(0.0165+0.076)*F101,0)</f>
        <v>0</v>
      </c>
      <c r="I101" s="237"/>
      <c r="J101" s="614">
        <f t="shared" si="3"/>
        <v>0</v>
      </c>
      <c r="K101" s="237"/>
      <c r="L101" s="614">
        <f t="shared" si="4"/>
        <v>0</v>
      </c>
      <c r="M101" s="237"/>
      <c r="N101" s="614">
        <f t="shared" si="5"/>
        <v>0</v>
      </c>
    </row>
    <row r="102" spans="2:14">
      <c r="B102" s="793">
        <v>90</v>
      </c>
      <c r="C102" s="807"/>
      <c r="D102" s="808"/>
      <c r="E102" s="809"/>
      <c r="F102" s="810"/>
      <c r="G102" s="237"/>
      <c r="H102" s="601">
        <f>IF(Consolidado_Geral!$G$133=7.6%,-(0.0165+0.076)*F102,0)</f>
        <v>0</v>
      </c>
      <c r="I102" s="237"/>
      <c r="J102" s="614">
        <f t="shared" si="3"/>
        <v>0</v>
      </c>
      <c r="K102" s="237"/>
      <c r="L102" s="614">
        <f t="shared" si="4"/>
        <v>0</v>
      </c>
      <c r="M102" s="237"/>
      <c r="N102" s="614">
        <f t="shared" si="5"/>
        <v>0</v>
      </c>
    </row>
    <row r="103" spans="2:14">
      <c r="B103" s="793">
        <v>91</v>
      </c>
      <c r="C103" s="807"/>
      <c r="D103" s="808"/>
      <c r="E103" s="809"/>
      <c r="F103" s="810"/>
      <c r="G103" s="237"/>
      <c r="H103" s="601">
        <f>IF(Consolidado_Geral!$G$133=7.6%,-(0.0165+0.076)*F103,0)</f>
        <v>0</v>
      </c>
      <c r="I103" s="237"/>
      <c r="J103" s="614">
        <f t="shared" si="3"/>
        <v>0</v>
      </c>
      <c r="K103" s="237"/>
      <c r="L103" s="614">
        <f t="shared" si="4"/>
        <v>0</v>
      </c>
      <c r="M103" s="237"/>
      <c r="N103" s="614">
        <f t="shared" si="5"/>
        <v>0</v>
      </c>
    </row>
    <row r="104" spans="2:14">
      <c r="B104" s="793">
        <v>92</v>
      </c>
      <c r="C104" s="807"/>
      <c r="D104" s="808"/>
      <c r="E104" s="809"/>
      <c r="F104" s="810"/>
      <c r="G104" s="237"/>
      <c r="H104" s="601">
        <f>IF(Consolidado_Geral!$G$133=7.6%,-(0.0165+0.076)*F104,0)</f>
        <v>0</v>
      </c>
      <c r="I104" s="237"/>
      <c r="J104" s="614">
        <f t="shared" si="3"/>
        <v>0</v>
      </c>
      <c r="K104" s="237"/>
      <c r="L104" s="614">
        <f t="shared" si="4"/>
        <v>0</v>
      </c>
      <c r="M104" s="237"/>
      <c r="N104" s="614">
        <f t="shared" si="5"/>
        <v>0</v>
      </c>
    </row>
    <row r="105" spans="2:14">
      <c r="B105" s="793">
        <v>93</v>
      </c>
      <c r="C105" s="807"/>
      <c r="D105" s="808"/>
      <c r="E105" s="809"/>
      <c r="F105" s="810"/>
      <c r="G105" s="237"/>
      <c r="H105" s="601">
        <f>IF(Consolidado_Geral!$G$133=7.6%,-(0.0165+0.076)*F105,0)</f>
        <v>0</v>
      </c>
      <c r="I105" s="237"/>
      <c r="J105" s="614">
        <f t="shared" si="3"/>
        <v>0</v>
      </c>
      <c r="K105" s="237"/>
      <c r="L105" s="614">
        <f t="shared" si="4"/>
        <v>0</v>
      </c>
      <c r="M105" s="237"/>
      <c r="N105" s="614">
        <f t="shared" si="5"/>
        <v>0</v>
      </c>
    </row>
    <row r="106" spans="2:14">
      <c r="B106" s="793">
        <v>94</v>
      </c>
      <c r="C106" s="807"/>
      <c r="D106" s="808"/>
      <c r="E106" s="809"/>
      <c r="F106" s="810"/>
      <c r="G106" s="237"/>
      <c r="H106" s="601">
        <f>IF(Consolidado_Geral!$G$133=7.6%,-(0.0165+0.076)*F106,0)</f>
        <v>0</v>
      </c>
      <c r="I106" s="237"/>
      <c r="J106" s="614">
        <f t="shared" si="3"/>
        <v>0</v>
      </c>
      <c r="K106" s="237"/>
      <c r="L106" s="614">
        <f t="shared" si="4"/>
        <v>0</v>
      </c>
      <c r="M106" s="237"/>
      <c r="N106" s="614">
        <f t="shared" si="5"/>
        <v>0</v>
      </c>
    </row>
    <row r="107" spans="2:14">
      <c r="B107" s="793">
        <v>95</v>
      </c>
      <c r="C107" s="807"/>
      <c r="D107" s="808"/>
      <c r="E107" s="809"/>
      <c r="F107" s="810"/>
      <c r="G107" s="237"/>
      <c r="H107" s="601">
        <f>IF(Consolidado_Geral!$G$133=7.6%,-(0.0165+0.076)*F107,0)</f>
        <v>0</v>
      </c>
      <c r="I107" s="237"/>
      <c r="J107" s="614">
        <f t="shared" si="3"/>
        <v>0</v>
      </c>
      <c r="K107" s="237"/>
      <c r="L107" s="614">
        <f t="shared" si="4"/>
        <v>0</v>
      </c>
      <c r="M107" s="237"/>
      <c r="N107" s="614">
        <f t="shared" si="5"/>
        <v>0</v>
      </c>
    </row>
    <row r="108" spans="2:14">
      <c r="B108" s="793">
        <v>96</v>
      </c>
      <c r="C108" s="807"/>
      <c r="D108" s="808"/>
      <c r="E108" s="809"/>
      <c r="F108" s="810"/>
      <c r="G108" s="237"/>
      <c r="H108" s="601">
        <f>IF(Consolidado_Geral!$G$133=7.6%,-(0.0165+0.076)*F108,0)</f>
        <v>0</v>
      </c>
      <c r="I108" s="237"/>
      <c r="J108" s="614">
        <f t="shared" si="3"/>
        <v>0</v>
      </c>
      <c r="K108" s="237"/>
      <c r="L108" s="614">
        <f t="shared" si="4"/>
        <v>0</v>
      </c>
      <c r="M108" s="237"/>
      <c r="N108" s="614">
        <f t="shared" si="5"/>
        <v>0</v>
      </c>
    </row>
    <row r="109" spans="2:14">
      <c r="B109" s="793">
        <v>97</v>
      </c>
      <c r="C109" s="807"/>
      <c r="D109" s="808"/>
      <c r="E109" s="809"/>
      <c r="F109" s="810"/>
      <c r="G109" s="237"/>
      <c r="H109" s="601">
        <f>IF(Consolidado_Geral!$G$133=7.6%,-(0.0165+0.076)*F109,0)</f>
        <v>0</v>
      </c>
      <c r="I109" s="237"/>
      <c r="J109" s="614">
        <f t="shared" si="3"/>
        <v>0</v>
      </c>
      <c r="K109" s="237"/>
      <c r="L109" s="614">
        <f t="shared" si="4"/>
        <v>0</v>
      </c>
      <c r="M109" s="237"/>
      <c r="N109" s="614">
        <f t="shared" si="5"/>
        <v>0</v>
      </c>
    </row>
    <row r="110" spans="2:14">
      <c r="B110" s="793">
        <v>98</v>
      </c>
      <c r="C110" s="807"/>
      <c r="D110" s="808"/>
      <c r="E110" s="809"/>
      <c r="F110" s="810"/>
      <c r="G110" s="237"/>
      <c r="H110" s="601">
        <f>IF(Consolidado_Geral!$G$133=7.6%,-(0.0165+0.076)*F110,0)</f>
        <v>0</v>
      </c>
      <c r="I110" s="237"/>
      <c r="J110" s="614">
        <f t="shared" si="3"/>
        <v>0</v>
      </c>
      <c r="K110" s="237"/>
      <c r="L110" s="614">
        <f t="shared" si="4"/>
        <v>0</v>
      </c>
      <c r="M110" s="237"/>
      <c r="N110" s="614">
        <f t="shared" si="5"/>
        <v>0</v>
      </c>
    </row>
    <row r="111" spans="2:14">
      <c r="B111" s="793">
        <v>99</v>
      </c>
      <c r="C111" s="807"/>
      <c r="D111" s="808"/>
      <c r="E111" s="809"/>
      <c r="F111" s="810"/>
      <c r="G111" s="237"/>
      <c r="H111" s="601">
        <f>IF(Consolidado_Geral!$G$133=7.6%,-(0.0165+0.076)*F111,0)</f>
        <v>0</v>
      </c>
      <c r="I111" s="237"/>
      <c r="J111" s="614">
        <f t="shared" si="3"/>
        <v>0</v>
      </c>
      <c r="K111" s="237"/>
      <c r="L111" s="614">
        <f t="shared" si="4"/>
        <v>0</v>
      </c>
      <c r="M111" s="237"/>
      <c r="N111" s="614">
        <f t="shared" si="5"/>
        <v>0</v>
      </c>
    </row>
    <row r="112" spans="2:14">
      <c r="B112" s="793">
        <v>100</v>
      </c>
      <c r="C112" s="807"/>
      <c r="D112" s="808"/>
      <c r="E112" s="809"/>
      <c r="F112" s="810"/>
      <c r="G112" s="237"/>
      <c r="H112" s="601">
        <f>IF(Consolidado_Geral!$G$133=7.6%,-(0.0165+0.076)*F112,0)</f>
        <v>0</v>
      </c>
      <c r="I112" s="237"/>
      <c r="J112" s="614">
        <f t="shared" si="3"/>
        <v>0</v>
      </c>
      <c r="K112" s="237"/>
      <c r="L112" s="614">
        <f t="shared" si="4"/>
        <v>0</v>
      </c>
      <c r="M112" s="237"/>
      <c r="N112" s="614">
        <f t="shared" si="5"/>
        <v>0</v>
      </c>
    </row>
    <row r="113" spans="2:14">
      <c r="B113" s="793">
        <v>101</v>
      </c>
      <c r="C113" s="807"/>
      <c r="D113" s="808"/>
      <c r="E113" s="809"/>
      <c r="F113" s="810"/>
      <c r="G113" s="237"/>
      <c r="H113" s="601">
        <f>IF(Consolidado_Geral!$G$133=7.6%,-(0.0165+0.076)*F113,0)</f>
        <v>0</v>
      </c>
      <c r="I113" s="237"/>
      <c r="J113" s="614">
        <f t="shared" si="3"/>
        <v>0</v>
      </c>
      <c r="K113" s="237"/>
      <c r="L113" s="614">
        <f t="shared" si="4"/>
        <v>0</v>
      </c>
      <c r="M113" s="237"/>
      <c r="N113" s="614">
        <f t="shared" si="5"/>
        <v>0</v>
      </c>
    </row>
    <row r="114" spans="2:14">
      <c r="B114" s="793">
        <v>102</v>
      </c>
      <c r="C114" s="807"/>
      <c r="D114" s="808"/>
      <c r="E114" s="809"/>
      <c r="F114" s="810"/>
      <c r="G114" s="237"/>
      <c r="H114" s="601">
        <f>IF(Consolidado_Geral!$G$133=7.6%,-(0.0165+0.076)*F114,0)</f>
        <v>0</v>
      </c>
      <c r="I114" s="237"/>
      <c r="J114" s="614">
        <f t="shared" si="3"/>
        <v>0</v>
      </c>
      <c r="K114" s="237"/>
      <c r="L114" s="614">
        <f t="shared" si="4"/>
        <v>0</v>
      </c>
      <c r="M114" s="237"/>
      <c r="N114" s="614">
        <f t="shared" si="5"/>
        <v>0</v>
      </c>
    </row>
    <row r="115" spans="2:14">
      <c r="B115" s="793">
        <v>103</v>
      </c>
      <c r="C115" s="807"/>
      <c r="D115" s="808"/>
      <c r="E115" s="809"/>
      <c r="F115" s="810"/>
      <c r="G115" s="237"/>
      <c r="H115" s="601">
        <f>IF(Consolidado_Geral!$G$133=7.6%,-(0.0165+0.076)*F115,0)</f>
        <v>0</v>
      </c>
      <c r="I115" s="237"/>
      <c r="J115" s="614">
        <f t="shared" si="3"/>
        <v>0</v>
      </c>
      <c r="K115" s="237"/>
      <c r="L115" s="614">
        <f t="shared" si="4"/>
        <v>0</v>
      </c>
      <c r="M115" s="237"/>
      <c r="N115" s="614">
        <f t="shared" si="5"/>
        <v>0</v>
      </c>
    </row>
    <row r="116" spans="2:14">
      <c r="B116" s="793">
        <v>104</v>
      </c>
      <c r="C116" s="807"/>
      <c r="D116" s="808"/>
      <c r="E116" s="809"/>
      <c r="F116" s="810"/>
      <c r="G116" s="237"/>
      <c r="H116" s="601">
        <f>IF(Consolidado_Geral!$G$133=7.6%,-(0.0165+0.076)*F116,0)</f>
        <v>0</v>
      </c>
      <c r="I116" s="237"/>
      <c r="J116" s="614">
        <f t="shared" si="3"/>
        <v>0</v>
      </c>
      <c r="K116" s="237"/>
      <c r="L116" s="614">
        <f t="shared" si="4"/>
        <v>0</v>
      </c>
      <c r="M116" s="237"/>
      <c r="N116" s="614">
        <f t="shared" si="5"/>
        <v>0</v>
      </c>
    </row>
    <row r="117" spans="2:14">
      <c r="B117" s="793">
        <v>105</v>
      </c>
      <c r="C117" s="807"/>
      <c r="D117" s="808"/>
      <c r="E117" s="809"/>
      <c r="F117" s="810"/>
      <c r="G117" s="237"/>
      <c r="H117" s="601">
        <f>IF(Consolidado_Geral!$G$133=7.6%,-(0.0165+0.076)*F117,0)</f>
        <v>0</v>
      </c>
      <c r="I117" s="237"/>
      <c r="J117" s="614">
        <f t="shared" si="3"/>
        <v>0</v>
      </c>
      <c r="K117" s="237"/>
      <c r="L117" s="614">
        <f t="shared" si="4"/>
        <v>0</v>
      </c>
      <c r="M117" s="237"/>
      <c r="N117" s="614">
        <f t="shared" si="5"/>
        <v>0</v>
      </c>
    </row>
    <row r="118" spans="2:14">
      <c r="B118" s="793">
        <v>106</v>
      </c>
      <c r="C118" s="807"/>
      <c r="D118" s="808"/>
      <c r="E118" s="809"/>
      <c r="F118" s="810"/>
      <c r="G118" s="237"/>
      <c r="H118" s="601">
        <f>IF(Consolidado_Geral!$G$133=7.6%,-(0.0165+0.076)*F118,0)</f>
        <v>0</v>
      </c>
      <c r="I118" s="237"/>
      <c r="J118" s="614">
        <f t="shared" si="3"/>
        <v>0</v>
      </c>
      <c r="K118" s="237"/>
      <c r="L118" s="614">
        <f t="shared" si="4"/>
        <v>0</v>
      </c>
      <c r="M118" s="237"/>
      <c r="N118" s="614">
        <f t="shared" si="5"/>
        <v>0</v>
      </c>
    </row>
    <row r="119" spans="2:14">
      <c r="B119" s="793">
        <v>107</v>
      </c>
      <c r="C119" s="807"/>
      <c r="D119" s="808"/>
      <c r="E119" s="809"/>
      <c r="F119" s="810"/>
      <c r="G119" s="237"/>
      <c r="H119" s="601">
        <f>IF(Consolidado_Geral!$G$133=7.6%,-(0.0165+0.076)*F119,0)</f>
        <v>0</v>
      </c>
      <c r="I119" s="237"/>
      <c r="J119" s="614">
        <f t="shared" si="3"/>
        <v>0</v>
      </c>
      <c r="K119" s="237"/>
      <c r="L119" s="614">
        <f t="shared" si="4"/>
        <v>0</v>
      </c>
      <c r="M119" s="237"/>
      <c r="N119" s="614">
        <f t="shared" si="5"/>
        <v>0</v>
      </c>
    </row>
    <row r="120" spans="2:14">
      <c r="B120" s="793">
        <v>108</v>
      </c>
      <c r="C120" s="807"/>
      <c r="D120" s="808"/>
      <c r="E120" s="809"/>
      <c r="F120" s="810"/>
      <c r="G120" s="237"/>
      <c r="H120" s="601">
        <f>IF(Consolidado_Geral!$G$133=7.6%,-(0.0165+0.076)*F120,0)</f>
        <v>0</v>
      </c>
      <c r="I120" s="237"/>
      <c r="J120" s="614">
        <f t="shared" si="3"/>
        <v>0</v>
      </c>
      <c r="K120" s="237"/>
      <c r="L120" s="614">
        <f t="shared" si="4"/>
        <v>0</v>
      </c>
      <c r="M120" s="237"/>
      <c r="N120" s="614">
        <f t="shared" si="5"/>
        <v>0</v>
      </c>
    </row>
    <row r="121" spans="2:14">
      <c r="B121" s="793">
        <v>109</v>
      </c>
      <c r="C121" s="807"/>
      <c r="D121" s="808"/>
      <c r="E121" s="809"/>
      <c r="F121" s="810"/>
      <c r="G121" s="237"/>
      <c r="H121" s="601">
        <f>IF(Consolidado_Geral!$G$133=7.6%,-(0.0165+0.076)*F121,0)</f>
        <v>0</v>
      </c>
      <c r="I121" s="237"/>
      <c r="J121" s="614">
        <f t="shared" si="3"/>
        <v>0</v>
      </c>
      <c r="K121" s="237"/>
      <c r="L121" s="614">
        <f t="shared" si="4"/>
        <v>0</v>
      </c>
      <c r="M121" s="237"/>
      <c r="N121" s="614">
        <f t="shared" si="5"/>
        <v>0</v>
      </c>
    </row>
    <row r="122" spans="2:14">
      <c r="B122" s="793">
        <v>110</v>
      </c>
      <c r="C122" s="807"/>
      <c r="D122" s="808"/>
      <c r="E122" s="809"/>
      <c r="F122" s="810"/>
      <c r="G122" s="237"/>
      <c r="H122" s="601">
        <f>IF(Consolidado_Geral!$G$133=7.6%,-(0.0165+0.076)*F122,0)</f>
        <v>0</v>
      </c>
      <c r="I122" s="237"/>
      <c r="J122" s="614">
        <f t="shared" si="3"/>
        <v>0</v>
      </c>
      <c r="K122" s="237"/>
      <c r="L122" s="614">
        <f t="shared" si="4"/>
        <v>0</v>
      </c>
      <c r="M122" s="237"/>
      <c r="N122" s="614">
        <f t="shared" si="5"/>
        <v>0</v>
      </c>
    </row>
    <row r="123" spans="2:14">
      <c r="B123" s="793">
        <v>111</v>
      </c>
      <c r="C123" s="807"/>
      <c r="D123" s="808"/>
      <c r="E123" s="809"/>
      <c r="F123" s="810"/>
      <c r="G123" s="237"/>
      <c r="H123" s="601">
        <f>IF(Consolidado_Geral!$G$133=7.6%,-(0.0165+0.076)*F123,0)</f>
        <v>0</v>
      </c>
      <c r="I123" s="237"/>
      <c r="J123" s="614">
        <f t="shared" si="3"/>
        <v>0</v>
      </c>
      <c r="K123" s="237"/>
      <c r="L123" s="614">
        <f t="shared" si="4"/>
        <v>0</v>
      </c>
      <c r="M123" s="237"/>
      <c r="N123" s="614">
        <f t="shared" si="5"/>
        <v>0</v>
      </c>
    </row>
    <row r="124" spans="2:14">
      <c r="B124" s="793">
        <v>112</v>
      </c>
      <c r="C124" s="807"/>
      <c r="D124" s="808"/>
      <c r="E124" s="809"/>
      <c r="F124" s="810"/>
      <c r="G124" s="237"/>
      <c r="H124" s="601">
        <f>IF(Consolidado_Geral!$G$133=7.6%,-(0.0165+0.076)*F124,0)</f>
        <v>0</v>
      </c>
      <c r="I124" s="237"/>
      <c r="J124" s="614">
        <f t="shared" si="3"/>
        <v>0</v>
      </c>
      <c r="K124" s="237"/>
      <c r="L124" s="614">
        <f t="shared" si="4"/>
        <v>0</v>
      </c>
      <c r="M124" s="237"/>
      <c r="N124" s="614">
        <f t="shared" si="5"/>
        <v>0</v>
      </c>
    </row>
    <row r="125" spans="2:14">
      <c r="B125" s="793">
        <v>113</v>
      </c>
      <c r="C125" s="807"/>
      <c r="D125" s="808"/>
      <c r="E125" s="809"/>
      <c r="F125" s="810"/>
      <c r="G125" s="237"/>
      <c r="H125" s="601">
        <f>IF(Consolidado_Geral!$G$133=7.6%,-(0.0165+0.076)*F125,0)</f>
        <v>0</v>
      </c>
      <c r="I125" s="237"/>
      <c r="J125" s="614">
        <f t="shared" si="3"/>
        <v>0</v>
      </c>
      <c r="K125" s="237"/>
      <c r="L125" s="614">
        <f t="shared" si="4"/>
        <v>0</v>
      </c>
      <c r="M125" s="237"/>
      <c r="N125" s="614">
        <f t="shared" si="5"/>
        <v>0</v>
      </c>
    </row>
    <row r="126" spans="2:14">
      <c r="B126" s="793">
        <v>114</v>
      </c>
      <c r="C126" s="807"/>
      <c r="D126" s="808"/>
      <c r="E126" s="809"/>
      <c r="F126" s="810"/>
      <c r="G126" s="237"/>
      <c r="H126" s="601">
        <f>IF(Consolidado_Geral!$G$133=7.6%,-(0.0165+0.076)*F126,0)</f>
        <v>0</v>
      </c>
      <c r="I126" s="237"/>
      <c r="J126" s="614">
        <f t="shared" si="3"/>
        <v>0</v>
      </c>
      <c r="K126" s="237"/>
      <c r="L126" s="614">
        <f t="shared" si="4"/>
        <v>0</v>
      </c>
      <c r="M126" s="237"/>
      <c r="N126" s="614">
        <f t="shared" si="5"/>
        <v>0</v>
      </c>
    </row>
    <row r="127" spans="2:14">
      <c r="B127" s="793">
        <v>115</v>
      </c>
      <c r="C127" s="807"/>
      <c r="D127" s="808"/>
      <c r="E127" s="809"/>
      <c r="F127" s="810"/>
      <c r="G127" s="237"/>
      <c r="H127" s="601">
        <f>IF(Consolidado_Geral!$G$133=7.6%,-(0.0165+0.076)*F127,0)</f>
        <v>0</v>
      </c>
      <c r="I127" s="237"/>
      <c r="J127" s="614">
        <f t="shared" si="3"/>
        <v>0</v>
      </c>
      <c r="K127" s="237"/>
      <c r="L127" s="614">
        <f t="shared" si="4"/>
        <v>0</v>
      </c>
      <c r="M127" s="237"/>
      <c r="N127" s="614">
        <f t="shared" si="5"/>
        <v>0</v>
      </c>
    </row>
    <row r="128" spans="2:14">
      <c r="B128" s="793">
        <v>116</v>
      </c>
      <c r="C128" s="807"/>
      <c r="D128" s="808"/>
      <c r="E128" s="809"/>
      <c r="F128" s="810"/>
      <c r="G128" s="237"/>
      <c r="H128" s="601">
        <f>IF(Consolidado_Geral!$G$133=7.6%,-(0.0165+0.076)*F128,0)</f>
        <v>0</v>
      </c>
      <c r="I128" s="237"/>
      <c r="J128" s="614">
        <f t="shared" si="3"/>
        <v>0</v>
      </c>
      <c r="K128" s="237"/>
      <c r="L128" s="614">
        <f t="shared" si="4"/>
        <v>0</v>
      </c>
      <c r="M128" s="237"/>
      <c r="N128" s="614">
        <f t="shared" si="5"/>
        <v>0</v>
      </c>
    </row>
    <row r="129" spans="2:14">
      <c r="B129" s="793">
        <v>117</v>
      </c>
      <c r="C129" s="807"/>
      <c r="D129" s="808"/>
      <c r="E129" s="809"/>
      <c r="F129" s="810"/>
      <c r="G129" s="237"/>
      <c r="H129" s="601">
        <f>IF(Consolidado_Geral!$G$133=7.6%,-(0.0165+0.076)*F129,0)</f>
        <v>0</v>
      </c>
      <c r="I129" s="237"/>
      <c r="J129" s="614">
        <f t="shared" si="3"/>
        <v>0</v>
      </c>
      <c r="K129" s="237"/>
      <c r="L129" s="614">
        <f t="shared" si="4"/>
        <v>0</v>
      </c>
      <c r="M129" s="237"/>
      <c r="N129" s="614">
        <f t="shared" si="5"/>
        <v>0</v>
      </c>
    </row>
    <row r="130" spans="2:14">
      <c r="B130" s="793">
        <v>118</v>
      </c>
      <c r="C130" s="807"/>
      <c r="D130" s="808"/>
      <c r="E130" s="809"/>
      <c r="F130" s="810"/>
      <c r="G130" s="237"/>
      <c r="H130" s="601">
        <f>IF(Consolidado_Geral!$G$133=7.6%,-(0.0165+0.076)*F130,0)</f>
        <v>0</v>
      </c>
      <c r="I130" s="237"/>
      <c r="J130" s="614">
        <f t="shared" si="3"/>
        <v>0</v>
      </c>
      <c r="K130" s="237"/>
      <c r="L130" s="614">
        <f t="shared" si="4"/>
        <v>0</v>
      </c>
      <c r="M130" s="237"/>
      <c r="N130" s="614">
        <f t="shared" si="5"/>
        <v>0</v>
      </c>
    </row>
    <row r="131" spans="2:14">
      <c r="B131" s="793">
        <v>119</v>
      </c>
      <c r="C131" s="807"/>
      <c r="D131" s="808"/>
      <c r="E131" s="809"/>
      <c r="F131" s="810"/>
      <c r="G131" s="237"/>
      <c r="H131" s="601">
        <f>IF(Consolidado_Geral!$G$133=7.6%,-(0.0165+0.076)*F131,0)</f>
        <v>0</v>
      </c>
      <c r="I131" s="237"/>
      <c r="J131" s="614">
        <f t="shared" si="3"/>
        <v>0</v>
      </c>
      <c r="K131" s="237"/>
      <c r="L131" s="614">
        <f t="shared" si="4"/>
        <v>0</v>
      </c>
      <c r="M131" s="237"/>
      <c r="N131" s="614">
        <f t="shared" si="5"/>
        <v>0</v>
      </c>
    </row>
    <row r="132" spans="2:14">
      <c r="B132" s="793">
        <v>120</v>
      </c>
      <c r="C132" s="807"/>
      <c r="D132" s="808"/>
      <c r="E132" s="809"/>
      <c r="F132" s="810"/>
      <c r="G132" s="237"/>
      <c r="H132" s="601">
        <f>IF(Consolidado_Geral!$G$133=7.6%,-(0.0165+0.076)*F132,0)</f>
        <v>0</v>
      </c>
      <c r="I132" s="237"/>
      <c r="J132" s="614">
        <f t="shared" si="3"/>
        <v>0</v>
      </c>
      <c r="K132" s="237"/>
      <c r="L132" s="614">
        <f t="shared" si="4"/>
        <v>0</v>
      </c>
      <c r="M132" s="237"/>
      <c r="N132" s="614">
        <f t="shared" si="5"/>
        <v>0</v>
      </c>
    </row>
    <row r="133" spans="2:14">
      <c r="B133" s="793">
        <v>121</v>
      </c>
      <c r="C133" s="807"/>
      <c r="D133" s="808"/>
      <c r="E133" s="809"/>
      <c r="F133" s="810"/>
      <c r="G133" s="237"/>
      <c r="H133" s="601">
        <f>IF(Consolidado_Geral!$G$133=7.6%,-(0.0165+0.076)*F133,0)</f>
        <v>0</v>
      </c>
      <c r="I133" s="237"/>
      <c r="J133" s="614">
        <f t="shared" si="3"/>
        <v>0</v>
      </c>
      <c r="K133" s="237"/>
      <c r="L133" s="614">
        <f t="shared" si="4"/>
        <v>0</v>
      </c>
      <c r="M133" s="237"/>
      <c r="N133" s="614">
        <f t="shared" si="5"/>
        <v>0</v>
      </c>
    </row>
    <row r="134" spans="2:14">
      <c r="B134" s="793">
        <v>122</v>
      </c>
      <c r="C134" s="807"/>
      <c r="D134" s="808"/>
      <c r="E134" s="809"/>
      <c r="F134" s="810"/>
      <c r="G134" s="237"/>
      <c r="H134" s="601">
        <f>IF(Consolidado_Geral!$G$133=7.6%,-(0.0165+0.076)*F134,0)</f>
        <v>0</v>
      </c>
      <c r="I134" s="237"/>
      <c r="J134" s="614">
        <f t="shared" si="3"/>
        <v>0</v>
      </c>
      <c r="K134" s="237"/>
      <c r="L134" s="614">
        <f t="shared" si="4"/>
        <v>0</v>
      </c>
      <c r="M134" s="237"/>
      <c r="N134" s="614">
        <f t="shared" si="5"/>
        <v>0</v>
      </c>
    </row>
    <row r="135" spans="2:14">
      <c r="B135" s="793">
        <v>123</v>
      </c>
      <c r="C135" s="807"/>
      <c r="D135" s="808"/>
      <c r="E135" s="809"/>
      <c r="F135" s="810"/>
      <c r="G135" s="237"/>
      <c r="H135" s="601">
        <f>IF(Consolidado_Geral!$G$133=7.6%,-(0.0165+0.076)*F135,0)</f>
        <v>0</v>
      </c>
      <c r="I135" s="237"/>
      <c r="J135" s="614">
        <f t="shared" si="3"/>
        <v>0</v>
      </c>
      <c r="K135" s="237"/>
      <c r="L135" s="614">
        <f t="shared" si="4"/>
        <v>0</v>
      </c>
      <c r="M135" s="237"/>
      <c r="N135" s="614">
        <f t="shared" si="5"/>
        <v>0</v>
      </c>
    </row>
    <row r="136" spans="2:14">
      <c r="B136" s="793">
        <v>124</v>
      </c>
      <c r="C136" s="807"/>
      <c r="D136" s="808"/>
      <c r="E136" s="809"/>
      <c r="F136" s="810"/>
      <c r="G136" s="237"/>
      <c r="H136" s="601">
        <f>IF(Consolidado_Geral!$G$133=7.6%,-(0.0165+0.076)*F136,0)</f>
        <v>0</v>
      </c>
      <c r="I136" s="237"/>
      <c r="J136" s="614">
        <f t="shared" si="3"/>
        <v>0</v>
      </c>
      <c r="K136" s="237"/>
      <c r="L136" s="614">
        <f t="shared" si="4"/>
        <v>0</v>
      </c>
      <c r="M136" s="237"/>
      <c r="N136" s="614">
        <f t="shared" si="5"/>
        <v>0</v>
      </c>
    </row>
    <row r="137" spans="2:14">
      <c r="B137" s="793">
        <v>125</v>
      </c>
      <c r="C137" s="807"/>
      <c r="D137" s="808"/>
      <c r="E137" s="809"/>
      <c r="F137" s="810"/>
      <c r="G137" s="237"/>
      <c r="H137" s="601">
        <f>IF(Consolidado_Geral!$G$133=7.6%,-(0.0165+0.076)*F137,0)</f>
        <v>0</v>
      </c>
      <c r="I137" s="237"/>
      <c r="J137" s="614">
        <f t="shared" si="3"/>
        <v>0</v>
      </c>
      <c r="K137" s="237"/>
      <c r="L137" s="614">
        <f t="shared" si="4"/>
        <v>0</v>
      </c>
      <c r="M137" s="237"/>
      <c r="N137" s="614">
        <f t="shared" si="5"/>
        <v>0</v>
      </c>
    </row>
    <row r="138" spans="2:14">
      <c r="B138" s="793">
        <v>126</v>
      </c>
      <c r="C138" s="807"/>
      <c r="D138" s="808"/>
      <c r="E138" s="809"/>
      <c r="F138" s="810"/>
      <c r="G138" s="237"/>
      <c r="H138" s="601">
        <f>IF(Consolidado_Geral!$G$133=7.6%,-(0.0165+0.076)*F138,0)</f>
        <v>0</v>
      </c>
      <c r="I138" s="237"/>
      <c r="J138" s="614">
        <f t="shared" si="3"/>
        <v>0</v>
      </c>
      <c r="K138" s="237"/>
      <c r="L138" s="614">
        <f t="shared" si="4"/>
        <v>0</v>
      </c>
      <c r="M138" s="237"/>
      <c r="N138" s="614">
        <f t="shared" si="5"/>
        <v>0</v>
      </c>
    </row>
    <row r="139" spans="2:14">
      <c r="B139" s="793">
        <v>127</v>
      </c>
      <c r="C139" s="807"/>
      <c r="D139" s="808"/>
      <c r="E139" s="809"/>
      <c r="F139" s="810"/>
      <c r="G139" s="237"/>
      <c r="H139" s="601">
        <f>IF(Consolidado_Geral!$G$133=7.6%,-(0.0165+0.076)*F139,0)</f>
        <v>0</v>
      </c>
      <c r="I139" s="237"/>
      <c r="J139" s="614">
        <f t="shared" si="3"/>
        <v>0</v>
      </c>
      <c r="K139" s="237"/>
      <c r="L139" s="614">
        <f t="shared" si="4"/>
        <v>0</v>
      </c>
      <c r="M139" s="237"/>
      <c r="N139" s="614">
        <f t="shared" si="5"/>
        <v>0</v>
      </c>
    </row>
    <row r="140" spans="2:14">
      <c r="B140" s="793">
        <v>128</v>
      </c>
      <c r="C140" s="807"/>
      <c r="D140" s="808"/>
      <c r="E140" s="809"/>
      <c r="F140" s="810"/>
      <c r="G140" s="237"/>
      <c r="H140" s="601">
        <f>IF(Consolidado_Geral!$G$133=7.6%,-(0.0165+0.076)*F140,0)</f>
        <v>0</v>
      </c>
      <c r="I140" s="237"/>
      <c r="J140" s="614">
        <f t="shared" si="3"/>
        <v>0</v>
      </c>
      <c r="K140" s="237"/>
      <c r="L140" s="614">
        <f t="shared" si="4"/>
        <v>0</v>
      </c>
      <c r="M140" s="237"/>
      <c r="N140" s="614">
        <f t="shared" si="5"/>
        <v>0</v>
      </c>
    </row>
    <row r="141" spans="2:14">
      <c r="B141" s="793">
        <v>129</v>
      </c>
      <c r="C141" s="807"/>
      <c r="D141" s="808"/>
      <c r="E141" s="809"/>
      <c r="F141" s="810"/>
      <c r="G141" s="237"/>
      <c r="H141" s="601">
        <f>IF(Consolidado_Geral!$G$133=7.6%,-(0.0165+0.076)*F141,0)</f>
        <v>0</v>
      </c>
      <c r="I141" s="237"/>
      <c r="J141" s="614">
        <f t="shared" ref="J141:J204" si="6">F141+H141</f>
        <v>0</v>
      </c>
      <c r="K141" s="237"/>
      <c r="L141" s="614">
        <f t="shared" ref="L141:L204" si="7">J141*E141</f>
        <v>0</v>
      </c>
      <c r="M141" s="237"/>
      <c r="N141" s="614">
        <f t="shared" ref="N141:N204" si="8">L141*12</f>
        <v>0</v>
      </c>
    </row>
    <row r="142" spans="2:14">
      <c r="B142" s="793">
        <v>130</v>
      </c>
      <c r="C142" s="807"/>
      <c r="D142" s="808"/>
      <c r="E142" s="809"/>
      <c r="F142" s="810"/>
      <c r="G142" s="237"/>
      <c r="H142" s="601">
        <f>IF(Consolidado_Geral!$G$133=7.6%,-(0.0165+0.076)*F142,0)</f>
        <v>0</v>
      </c>
      <c r="I142" s="237"/>
      <c r="J142" s="614">
        <f t="shared" si="6"/>
        <v>0</v>
      </c>
      <c r="K142" s="237"/>
      <c r="L142" s="614">
        <f t="shared" si="7"/>
        <v>0</v>
      </c>
      <c r="M142" s="237"/>
      <c r="N142" s="614">
        <f t="shared" si="8"/>
        <v>0</v>
      </c>
    </row>
    <row r="143" spans="2:14">
      <c r="B143" s="793">
        <v>131</v>
      </c>
      <c r="C143" s="807"/>
      <c r="D143" s="808"/>
      <c r="E143" s="809"/>
      <c r="F143" s="810"/>
      <c r="G143" s="237"/>
      <c r="H143" s="601">
        <f>IF(Consolidado_Geral!$G$133=7.6%,-(0.0165+0.076)*F143,0)</f>
        <v>0</v>
      </c>
      <c r="I143" s="237"/>
      <c r="J143" s="614">
        <f t="shared" si="6"/>
        <v>0</v>
      </c>
      <c r="K143" s="237"/>
      <c r="L143" s="614">
        <f t="shared" si="7"/>
        <v>0</v>
      </c>
      <c r="M143" s="237"/>
      <c r="N143" s="614">
        <f t="shared" si="8"/>
        <v>0</v>
      </c>
    </row>
    <row r="144" spans="2:14">
      <c r="B144" s="793">
        <v>132</v>
      </c>
      <c r="C144" s="807"/>
      <c r="D144" s="808"/>
      <c r="E144" s="809"/>
      <c r="F144" s="810"/>
      <c r="G144" s="237"/>
      <c r="H144" s="601">
        <f>IF(Consolidado_Geral!$G$133=7.6%,-(0.0165+0.076)*F144,0)</f>
        <v>0</v>
      </c>
      <c r="I144" s="237"/>
      <c r="J144" s="614">
        <f t="shared" si="6"/>
        <v>0</v>
      </c>
      <c r="K144" s="237"/>
      <c r="L144" s="614">
        <f t="shared" si="7"/>
        <v>0</v>
      </c>
      <c r="M144" s="237"/>
      <c r="N144" s="614">
        <f t="shared" si="8"/>
        <v>0</v>
      </c>
    </row>
    <row r="145" spans="2:14">
      <c r="B145" s="793">
        <v>133</v>
      </c>
      <c r="C145" s="807"/>
      <c r="D145" s="808"/>
      <c r="E145" s="809"/>
      <c r="F145" s="810"/>
      <c r="G145" s="237"/>
      <c r="H145" s="601">
        <f>IF(Consolidado_Geral!$G$133=7.6%,-(0.0165+0.076)*F145,0)</f>
        <v>0</v>
      </c>
      <c r="I145" s="237"/>
      <c r="J145" s="614">
        <f t="shared" si="6"/>
        <v>0</v>
      </c>
      <c r="K145" s="237"/>
      <c r="L145" s="614">
        <f t="shared" si="7"/>
        <v>0</v>
      </c>
      <c r="M145" s="237"/>
      <c r="N145" s="614">
        <f t="shared" si="8"/>
        <v>0</v>
      </c>
    </row>
    <row r="146" spans="2:14">
      <c r="B146" s="793">
        <v>134</v>
      </c>
      <c r="C146" s="807"/>
      <c r="D146" s="808"/>
      <c r="E146" s="809"/>
      <c r="F146" s="810"/>
      <c r="G146" s="237"/>
      <c r="H146" s="601">
        <f>IF(Consolidado_Geral!$G$133=7.6%,-(0.0165+0.076)*F146,0)</f>
        <v>0</v>
      </c>
      <c r="I146" s="237"/>
      <c r="J146" s="614">
        <f t="shared" si="6"/>
        <v>0</v>
      </c>
      <c r="K146" s="237"/>
      <c r="L146" s="614">
        <f t="shared" si="7"/>
        <v>0</v>
      </c>
      <c r="M146" s="237"/>
      <c r="N146" s="614">
        <f t="shared" si="8"/>
        <v>0</v>
      </c>
    </row>
    <row r="147" spans="2:14">
      <c r="B147" s="793">
        <v>135</v>
      </c>
      <c r="C147" s="807"/>
      <c r="D147" s="808"/>
      <c r="E147" s="809"/>
      <c r="F147" s="810"/>
      <c r="G147" s="237"/>
      <c r="H147" s="601">
        <f>IF(Consolidado_Geral!$G$133=7.6%,-(0.0165+0.076)*F147,0)</f>
        <v>0</v>
      </c>
      <c r="I147" s="237"/>
      <c r="J147" s="614">
        <f t="shared" si="6"/>
        <v>0</v>
      </c>
      <c r="K147" s="237"/>
      <c r="L147" s="614">
        <f t="shared" si="7"/>
        <v>0</v>
      </c>
      <c r="M147" s="237"/>
      <c r="N147" s="614">
        <f t="shared" si="8"/>
        <v>0</v>
      </c>
    </row>
    <row r="148" spans="2:14">
      <c r="B148" s="793">
        <v>136</v>
      </c>
      <c r="C148" s="807"/>
      <c r="D148" s="808"/>
      <c r="E148" s="809"/>
      <c r="F148" s="810"/>
      <c r="G148" s="237"/>
      <c r="H148" s="601">
        <f>IF(Consolidado_Geral!$G$133=7.6%,-(0.0165+0.076)*F148,0)</f>
        <v>0</v>
      </c>
      <c r="I148" s="237"/>
      <c r="J148" s="614">
        <f t="shared" si="6"/>
        <v>0</v>
      </c>
      <c r="K148" s="237"/>
      <c r="L148" s="614">
        <f t="shared" si="7"/>
        <v>0</v>
      </c>
      <c r="M148" s="237"/>
      <c r="N148" s="614">
        <f t="shared" si="8"/>
        <v>0</v>
      </c>
    </row>
    <row r="149" spans="2:14">
      <c r="B149" s="793">
        <v>137</v>
      </c>
      <c r="C149" s="807"/>
      <c r="D149" s="808"/>
      <c r="E149" s="809"/>
      <c r="F149" s="810"/>
      <c r="G149" s="237"/>
      <c r="H149" s="601">
        <f>IF(Consolidado_Geral!$G$133=7.6%,-(0.0165+0.076)*F149,0)</f>
        <v>0</v>
      </c>
      <c r="I149" s="237"/>
      <c r="J149" s="614">
        <f t="shared" si="6"/>
        <v>0</v>
      </c>
      <c r="K149" s="237"/>
      <c r="L149" s="614">
        <f t="shared" si="7"/>
        <v>0</v>
      </c>
      <c r="M149" s="237"/>
      <c r="N149" s="614">
        <f t="shared" si="8"/>
        <v>0</v>
      </c>
    </row>
    <row r="150" spans="2:14">
      <c r="B150" s="793">
        <v>138</v>
      </c>
      <c r="C150" s="807"/>
      <c r="D150" s="808"/>
      <c r="E150" s="809"/>
      <c r="F150" s="810"/>
      <c r="G150" s="237"/>
      <c r="H150" s="601">
        <f>IF(Consolidado_Geral!$G$133=7.6%,-(0.0165+0.076)*F150,0)</f>
        <v>0</v>
      </c>
      <c r="I150" s="237"/>
      <c r="J150" s="614">
        <f t="shared" si="6"/>
        <v>0</v>
      </c>
      <c r="K150" s="237"/>
      <c r="L150" s="614">
        <f t="shared" si="7"/>
        <v>0</v>
      </c>
      <c r="M150" s="237"/>
      <c r="N150" s="614">
        <f t="shared" si="8"/>
        <v>0</v>
      </c>
    </row>
    <row r="151" spans="2:14">
      <c r="B151" s="793">
        <v>139</v>
      </c>
      <c r="C151" s="807"/>
      <c r="D151" s="808"/>
      <c r="E151" s="809"/>
      <c r="F151" s="810"/>
      <c r="G151" s="237"/>
      <c r="H151" s="601">
        <f>IF(Consolidado_Geral!$G$133=7.6%,-(0.0165+0.076)*F151,0)</f>
        <v>0</v>
      </c>
      <c r="I151" s="237"/>
      <c r="J151" s="614">
        <f t="shared" si="6"/>
        <v>0</v>
      </c>
      <c r="K151" s="237"/>
      <c r="L151" s="614">
        <f t="shared" si="7"/>
        <v>0</v>
      </c>
      <c r="M151" s="237"/>
      <c r="N151" s="614">
        <f t="shared" si="8"/>
        <v>0</v>
      </c>
    </row>
    <row r="152" spans="2:14">
      <c r="B152" s="793">
        <v>140</v>
      </c>
      <c r="C152" s="807"/>
      <c r="D152" s="808"/>
      <c r="E152" s="809"/>
      <c r="F152" s="810"/>
      <c r="G152" s="237"/>
      <c r="H152" s="601">
        <f>IF(Consolidado_Geral!$G$133=7.6%,-(0.0165+0.076)*F152,0)</f>
        <v>0</v>
      </c>
      <c r="I152" s="237"/>
      <c r="J152" s="614">
        <f t="shared" si="6"/>
        <v>0</v>
      </c>
      <c r="K152" s="237"/>
      <c r="L152" s="614">
        <f t="shared" si="7"/>
        <v>0</v>
      </c>
      <c r="M152" s="237"/>
      <c r="N152" s="614">
        <f t="shared" si="8"/>
        <v>0</v>
      </c>
    </row>
    <row r="153" spans="2:14">
      <c r="B153" s="793">
        <v>141</v>
      </c>
      <c r="C153" s="807"/>
      <c r="D153" s="808"/>
      <c r="E153" s="809"/>
      <c r="F153" s="810"/>
      <c r="G153" s="237"/>
      <c r="H153" s="601">
        <f>IF(Consolidado_Geral!$G$133=7.6%,-(0.0165+0.076)*F153,0)</f>
        <v>0</v>
      </c>
      <c r="I153" s="237"/>
      <c r="J153" s="614">
        <f t="shared" si="6"/>
        <v>0</v>
      </c>
      <c r="K153" s="237"/>
      <c r="L153" s="614">
        <f t="shared" si="7"/>
        <v>0</v>
      </c>
      <c r="M153" s="237"/>
      <c r="N153" s="614">
        <f t="shared" si="8"/>
        <v>0</v>
      </c>
    </row>
    <row r="154" spans="2:14">
      <c r="B154" s="793">
        <v>142</v>
      </c>
      <c r="C154" s="807"/>
      <c r="D154" s="808"/>
      <c r="E154" s="809"/>
      <c r="F154" s="810"/>
      <c r="G154" s="237"/>
      <c r="H154" s="601">
        <f>IF(Consolidado_Geral!$G$133=7.6%,-(0.0165+0.076)*F154,0)</f>
        <v>0</v>
      </c>
      <c r="I154" s="237"/>
      <c r="J154" s="614">
        <f t="shared" si="6"/>
        <v>0</v>
      </c>
      <c r="K154" s="237"/>
      <c r="L154" s="614">
        <f t="shared" si="7"/>
        <v>0</v>
      </c>
      <c r="M154" s="237"/>
      <c r="N154" s="614">
        <f t="shared" si="8"/>
        <v>0</v>
      </c>
    </row>
    <row r="155" spans="2:14">
      <c r="B155" s="793">
        <v>143</v>
      </c>
      <c r="C155" s="807"/>
      <c r="D155" s="808"/>
      <c r="E155" s="809"/>
      <c r="F155" s="810"/>
      <c r="G155" s="237"/>
      <c r="H155" s="601">
        <f>IF(Consolidado_Geral!$G$133=7.6%,-(0.0165+0.076)*F155,0)</f>
        <v>0</v>
      </c>
      <c r="I155" s="237"/>
      <c r="J155" s="614">
        <f t="shared" si="6"/>
        <v>0</v>
      </c>
      <c r="K155" s="237"/>
      <c r="L155" s="614">
        <f t="shared" si="7"/>
        <v>0</v>
      </c>
      <c r="M155" s="237"/>
      <c r="N155" s="614">
        <f t="shared" si="8"/>
        <v>0</v>
      </c>
    </row>
    <row r="156" spans="2:14">
      <c r="B156" s="793">
        <v>144</v>
      </c>
      <c r="C156" s="807"/>
      <c r="D156" s="808"/>
      <c r="E156" s="809"/>
      <c r="F156" s="810"/>
      <c r="G156" s="237"/>
      <c r="H156" s="601">
        <f>IF(Consolidado_Geral!$G$133=7.6%,-(0.0165+0.076)*F156,0)</f>
        <v>0</v>
      </c>
      <c r="I156" s="237"/>
      <c r="J156" s="614">
        <f t="shared" si="6"/>
        <v>0</v>
      </c>
      <c r="K156" s="237"/>
      <c r="L156" s="614">
        <f t="shared" si="7"/>
        <v>0</v>
      </c>
      <c r="M156" s="237"/>
      <c r="N156" s="614">
        <f t="shared" si="8"/>
        <v>0</v>
      </c>
    </row>
    <row r="157" spans="2:14">
      <c r="B157" s="793">
        <v>145</v>
      </c>
      <c r="C157" s="807"/>
      <c r="D157" s="808"/>
      <c r="E157" s="809"/>
      <c r="F157" s="810"/>
      <c r="G157" s="237"/>
      <c r="H157" s="601">
        <f>IF(Consolidado_Geral!$G$133=7.6%,-(0.0165+0.076)*F157,0)</f>
        <v>0</v>
      </c>
      <c r="I157" s="237"/>
      <c r="J157" s="614">
        <f t="shared" si="6"/>
        <v>0</v>
      </c>
      <c r="K157" s="237"/>
      <c r="L157" s="614">
        <f t="shared" si="7"/>
        <v>0</v>
      </c>
      <c r="M157" s="237"/>
      <c r="N157" s="614">
        <f t="shared" si="8"/>
        <v>0</v>
      </c>
    </row>
    <row r="158" spans="2:14">
      <c r="B158" s="793">
        <v>146</v>
      </c>
      <c r="C158" s="807"/>
      <c r="D158" s="808"/>
      <c r="E158" s="809"/>
      <c r="F158" s="810"/>
      <c r="G158" s="237"/>
      <c r="H158" s="601">
        <f>IF(Consolidado_Geral!$G$133=7.6%,-(0.0165+0.076)*F158,0)</f>
        <v>0</v>
      </c>
      <c r="I158" s="237"/>
      <c r="J158" s="614">
        <f t="shared" si="6"/>
        <v>0</v>
      </c>
      <c r="K158" s="237"/>
      <c r="L158" s="614">
        <f t="shared" si="7"/>
        <v>0</v>
      </c>
      <c r="M158" s="237"/>
      <c r="N158" s="614">
        <f t="shared" si="8"/>
        <v>0</v>
      </c>
    </row>
    <row r="159" spans="2:14">
      <c r="B159" s="793">
        <v>147</v>
      </c>
      <c r="C159" s="807"/>
      <c r="D159" s="808"/>
      <c r="E159" s="809"/>
      <c r="F159" s="810"/>
      <c r="G159" s="237"/>
      <c r="H159" s="601">
        <f>IF(Consolidado_Geral!$G$133=7.6%,-(0.0165+0.076)*F159,0)</f>
        <v>0</v>
      </c>
      <c r="I159" s="237"/>
      <c r="J159" s="614">
        <f t="shared" si="6"/>
        <v>0</v>
      </c>
      <c r="K159" s="237"/>
      <c r="L159" s="614">
        <f t="shared" si="7"/>
        <v>0</v>
      </c>
      <c r="M159" s="237"/>
      <c r="N159" s="614">
        <f t="shared" si="8"/>
        <v>0</v>
      </c>
    </row>
    <row r="160" spans="2:14">
      <c r="B160" s="793">
        <v>148</v>
      </c>
      <c r="C160" s="807"/>
      <c r="D160" s="808"/>
      <c r="E160" s="809"/>
      <c r="F160" s="810"/>
      <c r="G160" s="237"/>
      <c r="H160" s="601">
        <f>IF(Consolidado_Geral!$G$133=7.6%,-(0.0165+0.076)*F160,0)</f>
        <v>0</v>
      </c>
      <c r="I160" s="237"/>
      <c r="J160" s="614">
        <f t="shared" si="6"/>
        <v>0</v>
      </c>
      <c r="K160" s="237"/>
      <c r="L160" s="614">
        <f t="shared" si="7"/>
        <v>0</v>
      </c>
      <c r="M160" s="237"/>
      <c r="N160" s="614">
        <f t="shared" si="8"/>
        <v>0</v>
      </c>
    </row>
    <row r="161" spans="2:14">
      <c r="B161" s="793">
        <v>149</v>
      </c>
      <c r="C161" s="807"/>
      <c r="D161" s="808"/>
      <c r="E161" s="809"/>
      <c r="F161" s="810"/>
      <c r="G161" s="237"/>
      <c r="H161" s="601">
        <f>IF(Consolidado_Geral!$G$133=7.6%,-(0.0165+0.076)*F161,0)</f>
        <v>0</v>
      </c>
      <c r="I161" s="237"/>
      <c r="J161" s="614">
        <f t="shared" si="6"/>
        <v>0</v>
      </c>
      <c r="K161" s="237"/>
      <c r="L161" s="614">
        <f t="shared" si="7"/>
        <v>0</v>
      </c>
      <c r="M161" s="237"/>
      <c r="N161" s="614">
        <f t="shared" si="8"/>
        <v>0</v>
      </c>
    </row>
    <row r="162" spans="2:14">
      <c r="B162" s="793">
        <v>150</v>
      </c>
      <c r="C162" s="807"/>
      <c r="D162" s="808"/>
      <c r="E162" s="809"/>
      <c r="F162" s="810"/>
      <c r="G162" s="237"/>
      <c r="H162" s="601">
        <f>IF(Consolidado_Geral!$G$133=7.6%,-(0.0165+0.076)*F162,0)</f>
        <v>0</v>
      </c>
      <c r="I162" s="237"/>
      <c r="J162" s="614">
        <f t="shared" si="6"/>
        <v>0</v>
      </c>
      <c r="K162" s="237"/>
      <c r="L162" s="614">
        <f t="shared" si="7"/>
        <v>0</v>
      </c>
      <c r="M162" s="237"/>
      <c r="N162" s="614">
        <f t="shared" si="8"/>
        <v>0</v>
      </c>
    </row>
    <row r="163" spans="2:14">
      <c r="B163" s="793">
        <v>151</v>
      </c>
      <c r="C163" s="807"/>
      <c r="D163" s="808"/>
      <c r="E163" s="809"/>
      <c r="F163" s="810"/>
      <c r="G163" s="237"/>
      <c r="H163" s="601">
        <f>IF(Consolidado_Geral!$G$133=7.6%,-(0.0165+0.076)*F163,0)</f>
        <v>0</v>
      </c>
      <c r="I163" s="237"/>
      <c r="J163" s="614">
        <f t="shared" si="6"/>
        <v>0</v>
      </c>
      <c r="K163" s="237"/>
      <c r="L163" s="614">
        <f t="shared" si="7"/>
        <v>0</v>
      </c>
      <c r="M163" s="237"/>
      <c r="N163" s="614">
        <f t="shared" si="8"/>
        <v>0</v>
      </c>
    </row>
    <row r="164" spans="2:14">
      <c r="B164" s="793">
        <v>152</v>
      </c>
      <c r="C164" s="807"/>
      <c r="D164" s="808"/>
      <c r="E164" s="809"/>
      <c r="F164" s="810"/>
      <c r="G164" s="237"/>
      <c r="H164" s="601">
        <f>IF(Consolidado_Geral!$G$133=7.6%,-(0.0165+0.076)*F164,0)</f>
        <v>0</v>
      </c>
      <c r="I164" s="237"/>
      <c r="J164" s="614">
        <f t="shared" si="6"/>
        <v>0</v>
      </c>
      <c r="K164" s="237"/>
      <c r="L164" s="614">
        <f t="shared" si="7"/>
        <v>0</v>
      </c>
      <c r="M164" s="237"/>
      <c r="N164" s="614">
        <f t="shared" si="8"/>
        <v>0</v>
      </c>
    </row>
    <row r="165" spans="2:14">
      <c r="B165" s="793">
        <v>153</v>
      </c>
      <c r="C165" s="807"/>
      <c r="D165" s="808"/>
      <c r="E165" s="809"/>
      <c r="F165" s="810"/>
      <c r="G165" s="237"/>
      <c r="H165" s="601">
        <f>IF(Consolidado_Geral!$G$133=7.6%,-(0.0165+0.076)*F165,0)</f>
        <v>0</v>
      </c>
      <c r="I165" s="237"/>
      <c r="J165" s="614">
        <f t="shared" si="6"/>
        <v>0</v>
      </c>
      <c r="K165" s="237"/>
      <c r="L165" s="614">
        <f t="shared" si="7"/>
        <v>0</v>
      </c>
      <c r="M165" s="237"/>
      <c r="N165" s="614">
        <f t="shared" si="8"/>
        <v>0</v>
      </c>
    </row>
    <row r="166" spans="2:14">
      <c r="B166" s="793">
        <v>154</v>
      </c>
      <c r="C166" s="807"/>
      <c r="D166" s="808"/>
      <c r="E166" s="809"/>
      <c r="F166" s="810"/>
      <c r="G166" s="237"/>
      <c r="H166" s="601">
        <f>IF(Consolidado_Geral!$G$133=7.6%,-(0.0165+0.076)*F166,0)</f>
        <v>0</v>
      </c>
      <c r="I166" s="237"/>
      <c r="J166" s="614">
        <f t="shared" si="6"/>
        <v>0</v>
      </c>
      <c r="K166" s="237"/>
      <c r="L166" s="614">
        <f t="shared" si="7"/>
        <v>0</v>
      </c>
      <c r="M166" s="237"/>
      <c r="N166" s="614">
        <f t="shared" si="8"/>
        <v>0</v>
      </c>
    </row>
    <row r="167" spans="2:14">
      <c r="B167" s="793">
        <v>155</v>
      </c>
      <c r="C167" s="807"/>
      <c r="D167" s="808"/>
      <c r="E167" s="809"/>
      <c r="F167" s="810"/>
      <c r="G167" s="237"/>
      <c r="H167" s="601">
        <f>IF(Consolidado_Geral!$G$133=7.6%,-(0.0165+0.076)*F167,0)</f>
        <v>0</v>
      </c>
      <c r="I167" s="237"/>
      <c r="J167" s="614">
        <f t="shared" si="6"/>
        <v>0</v>
      </c>
      <c r="K167" s="237"/>
      <c r="L167" s="614">
        <f t="shared" si="7"/>
        <v>0</v>
      </c>
      <c r="M167" s="237"/>
      <c r="N167" s="614">
        <f t="shared" si="8"/>
        <v>0</v>
      </c>
    </row>
    <row r="168" spans="2:14">
      <c r="B168" s="793">
        <v>156</v>
      </c>
      <c r="C168" s="807"/>
      <c r="D168" s="808"/>
      <c r="E168" s="809"/>
      <c r="F168" s="810"/>
      <c r="G168" s="237"/>
      <c r="H168" s="601">
        <f>IF(Consolidado_Geral!$G$133=7.6%,-(0.0165+0.076)*F168,0)</f>
        <v>0</v>
      </c>
      <c r="I168" s="237"/>
      <c r="J168" s="614">
        <f t="shared" si="6"/>
        <v>0</v>
      </c>
      <c r="K168" s="237"/>
      <c r="L168" s="614">
        <f t="shared" si="7"/>
        <v>0</v>
      </c>
      <c r="M168" s="237"/>
      <c r="N168" s="614">
        <f t="shared" si="8"/>
        <v>0</v>
      </c>
    </row>
    <row r="169" spans="2:14">
      <c r="B169" s="793">
        <v>157</v>
      </c>
      <c r="C169" s="807"/>
      <c r="D169" s="808"/>
      <c r="E169" s="809"/>
      <c r="F169" s="810"/>
      <c r="G169" s="237"/>
      <c r="H169" s="601">
        <f>IF(Consolidado_Geral!$G$133=7.6%,-(0.0165+0.076)*F169,0)</f>
        <v>0</v>
      </c>
      <c r="I169" s="237"/>
      <c r="J169" s="614">
        <f t="shared" si="6"/>
        <v>0</v>
      </c>
      <c r="K169" s="237"/>
      <c r="L169" s="614">
        <f t="shared" si="7"/>
        <v>0</v>
      </c>
      <c r="M169" s="237"/>
      <c r="N169" s="614">
        <f t="shared" si="8"/>
        <v>0</v>
      </c>
    </row>
    <row r="170" spans="2:14">
      <c r="B170" s="793">
        <v>158</v>
      </c>
      <c r="C170" s="807"/>
      <c r="D170" s="808"/>
      <c r="E170" s="809"/>
      <c r="F170" s="810"/>
      <c r="G170" s="237"/>
      <c r="H170" s="601">
        <f>IF(Consolidado_Geral!$G$133=7.6%,-(0.0165+0.076)*F170,0)</f>
        <v>0</v>
      </c>
      <c r="I170" s="237"/>
      <c r="J170" s="614">
        <f t="shared" si="6"/>
        <v>0</v>
      </c>
      <c r="K170" s="237"/>
      <c r="L170" s="614">
        <f t="shared" si="7"/>
        <v>0</v>
      </c>
      <c r="M170" s="237"/>
      <c r="N170" s="614">
        <f t="shared" si="8"/>
        <v>0</v>
      </c>
    </row>
    <row r="171" spans="2:14">
      <c r="B171" s="793">
        <v>159</v>
      </c>
      <c r="C171" s="807"/>
      <c r="D171" s="808"/>
      <c r="E171" s="809"/>
      <c r="F171" s="810"/>
      <c r="G171" s="237"/>
      <c r="H171" s="601">
        <f>IF(Consolidado_Geral!$G$133=7.6%,-(0.0165+0.076)*F171,0)</f>
        <v>0</v>
      </c>
      <c r="I171" s="237"/>
      <c r="J171" s="614">
        <f t="shared" si="6"/>
        <v>0</v>
      </c>
      <c r="K171" s="237"/>
      <c r="L171" s="614">
        <f t="shared" si="7"/>
        <v>0</v>
      </c>
      <c r="M171" s="237"/>
      <c r="N171" s="614">
        <f t="shared" si="8"/>
        <v>0</v>
      </c>
    </row>
    <row r="172" spans="2:14">
      <c r="B172" s="793">
        <v>160</v>
      </c>
      <c r="C172" s="807"/>
      <c r="D172" s="808"/>
      <c r="E172" s="809"/>
      <c r="F172" s="810"/>
      <c r="G172" s="237"/>
      <c r="H172" s="601">
        <f>IF(Consolidado_Geral!$G$133=7.6%,-(0.0165+0.076)*F172,0)</f>
        <v>0</v>
      </c>
      <c r="I172" s="237"/>
      <c r="J172" s="614">
        <f t="shared" si="6"/>
        <v>0</v>
      </c>
      <c r="K172" s="237"/>
      <c r="L172" s="614">
        <f t="shared" si="7"/>
        <v>0</v>
      </c>
      <c r="M172" s="237"/>
      <c r="N172" s="614">
        <f t="shared" si="8"/>
        <v>0</v>
      </c>
    </row>
    <row r="173" spans="2:14">
      <c r="B173" s="793">
        <v>161</v>
      </c>
      <c r="C173" s="807"/>
      <c r="D173" s="808"/>
      <c r="E173" s="809"/>
      <c r="F173" s="810"/>
      <c r="G173" s="237"/>
      <c r="H173" s="601">
        <f>IF(Consolidado_Geral!$G$133=7.6%,-(0.0165+0.076)*F173,0)</f>
        <v>0</v>
      </c>
      <c r="I173" s="237"/>
      <c r="J173" s="614">
        <f t="shared" si="6"/>
        <v>0</v>
      </c>
      <c r="K173" s="237"/>
      <c r="L173" s="614">
        <f t="shared" si="7"/>
        <v>0</v>
      </c>
      <c r="M173" s="237"/>
      <c r="N173" s="614">
        <f t="shared" si="8"/>
        <v>0</v>
      </c>
    </row>
    <row r="174" spans="2:14">
      <c r="B174" s="793">
        <v>162</v>
      </c>
      <c r="C174" s="807"/>
      <c r="D174" s="808"/>
      <c r="E174" s="809"/>
      <c r="F174" s="810"/>
      <c r="G174" s="237"/>
      <c r="H174" s="601">
        <f>IF(Consolidado_Geral!$G$133=7.6%,-(0.0165+0.076)*F174,0)</f>
        <v>0</v>
      </c>
      <c r="I174" s="237"/>
      <c r="J174" s="614">
        <f t="shared" si="6"/>
        <v>0</v>
      </c>
      <c r="K174" s="237"/>
      <c r="L174" s="614">
        <f t="shared" si="7"/>
        <v>0</v>
      </c>
      <c r="M174" s="237"/>
      <c r="N174" s="614">
        <f t="shared" si="8"/>
        <v>0</v>
      </c>
    </row>
    <row r="175" spans="2:14">
      <c r="B175" s="793">
        <v>163</v>
      </c>
      <c r="C175" s="807"/>
      <c r="D175" s="808"/>
      <c r="E175" s="809"/>
      <c r="F175" s="810"/>
      <c r="G175" s="237"/>
      <c r="H175" s="601">
        <f>IF(Consolidado_Geral!$G$133=7.6%,-(0.0165+0.076)*F175,0)</f>
        <v>0</v>
      </c>
      <c r="I175" s="237"/>
      <c r="J175" s="614">
        <f t="shared" si="6"/>
        <v>0</v>
      </c>
      <c r="K175" s="237"/>
      <c r="L175" s="614">
        <f t="shared" si="7"/>
        <v>0</v>
      </c>
      <c r="M175" s="237"/>
      <c r="N175" s="614">
        <f t="shared" si="8"/>
        <v>0</v>
      </c>
    </row>
    <row r="176" spans="2:14">
      <c r="B176" s="793">
        <v>164</v>
      </c>
      <c r="C176" s="807"/>
      <c r="D176" s="808"/>
      <c r="E176" s="809"/>
      <c r="F176" s="810"/>
      <c r="G176" s="237"/>
      <c r="H176" s="601">
        <f>IF(Consolidado_Geral!$G$133=7.6%,-(0.0165+0.076)*F176,0)</f>
        <v>0</v>
      </c>
      <c r="I176" s="237"/>
      <c r="J176" s="614">
        <f t="shared" si="6"/>
        <v>0</v>
      </c>
      <c r="K176" s="237"/>
      <c r="L176" s="614">
        <f t="shared" si="7"/>
        <v>0</v>
      </c>
      <c r="M176" s="237"/>
      <c r="N176" s="614">
        <f t="shared" si="8"/>
        <v>0</v>
      </c>
    </row>
    <row r="177" spans="2:14">
      <c r="B177" s="793">
        <v>165</v>
      </c>
      <c r="C177" s="807"/>
      <c r="D177" s="808"/>
      <c r="E177" s="809"/>
      <c r="F177" s="810"/>
      <c r="G177" s="237"/>
      <c r="H177" s="601">
        <f>IF(Consolidado_Geral!$G$133=7.6%,-(0.0165+0.076)*F177,0)</f>
        <v>0</v>
      </c>
      <c r="I177" s="237"/>
      <c r="J177" s="614">
        <f t="shared" si="6"/>
        <v>0</v>
      </c>
      <c r="K177" s="237"/>
      <c r="L177" s="614">
        <f t="shared" si="7"/>
        <v>0</v>
      </c>
      <c r="M177" s="237"/>
      <c r="N177" s="614">
        <f t="shared" si="8"/>
        <v>0</v>
      </c>
    </row>
    <row r="178" spans="2:14">
      <c r="B178" s="793">
        <v>166</v>
      </c>
      <c r="C178" s="807"/>
      <c r="D178" s="808"/>
      <c r="E178" s="809"/>
      <c r="F178" s="810"/>
      <c r="G178" s="237"/>
      <c r="H178" s="601">
        <f>IF(Consolidado_Geral!$G$133=7.6%,-(0.0165+0.076)*F178,0)</f>
        <v>0</v>
      </c>
      <c r="I178" s="237"/>
      <c r="J178" s="614">
        <f t="shared" si="6"/>
        <v>0</v>
      </c>
      <c r="K178" s="237"/>
      <c r="L178" s="614">
        <f t="shared" si="7"/>
        <v>0</v>
      </c>
      <c r="M178" s="237"/>
      <c r="N178" s="614">
        <f t="shared" si="8"/>
        <v>0</v>
      </c>
    </row>
    <row r="179" spans="2:14">
      <c r="B179" s="793">
        <v>167</v>
      </c>
      <c r="C179" s="807"/>
      <c r="D179" s="808"/>
      <c r="E179" s="809"/>
      <c r="F179" s="810"/>
      <c r="G179" s="237"/>
      <c r="H179" s="601">
        <f>IF(Consolidado_Geral!$G$133=7.6%,-(0.0165+0.076)*F179,0)</f>
        <v>0</v>
      </c>
      <c r="I179" s="237"/>
      <c r="J179" s="614">
        <f t="shared" si="6"/>
        <v>0</v>
      </c>
      <c r="K179" s="237"/>
      <c r="L179" s="614">
        <f t="shared" si="7"/>
        <v>0</v>
      </c>
      <c r="M179" s="237"/>
      <c r="N179" s="614">
        <f t="shared" si="8"/>
        <v>0</v>
      </c>
    </row>
    <row r="180" spans="2:14">
      <c r="B180" s="793">
        <v>168</v>
      </c>
      <c r="C180" s="807"/>
      <c r="D180" s="808"/>
      <c r="E180" s="809"/>
      <c r="F180" s="810"/>
      <c r="G180" s="237"/>
      <c r="H180" s="601">
        <f>IF(Consolidado_Geral!$G$133=7.6%,-(0.0165+0.076)*F180,0)</f>
        <v>0</v>
      </c>
      <c r="I180" s="237"/>
      <c r="J180" s="614">
        <f t="shared" si="6"/>
        <v>0</v>
      </c>
      <c r="K180" s="237"/>
      <c r="L180" s="614">
        <f t="shared" si="7"/>
        <v>0</v>
      </c>
      <c r="M180" s="237"/>
      <c r="N180" s="614">
        <f t="shared" si="8"/>
        <v>0</v>
      </c>
    </row>
    <row r="181" spans="2:14">
      <c r="B181" s="793">
        <v>169</v>
      </c>
      <c r="C181" s="807"/>
      <c r="D181" s="808"/>
      <c r="E181" s="809"/>
      <c r="F181" s="810"/>
      <c r="G181" s="237"/>
      <c r="H181" s="601">
        <f>IF(Consolidado_Geral!$G$133=7.6%,-(0.0165+0.076)*F181,0)</f>
        <v>0</v>
      </c>
      <c r="I181" s="237"/>
      <c r="J181" s="614">
        <f t="shared" si="6"/>
        <v>0</v>
      </c>
      <c r="K181" s="237"/>
      <c r="L181" s="614">
        <f t="shared" si="7"/>
        <v>0</v>
      </c>
      <c r="M181" s="237"/>
      <c r="N181" s="614">
        <f t="shared" si="8"/>
        <v>0</v>
      </c>
    </row>
    <row r="182" spans="2:14">
      <c r="B182" s="793">
        <v>170</v>
      </c>
      <c r="C182" s="807"/>
      <c r="D182" s="808"/>
      <c r="E182" s="809"/>
      <c r="F182" s="810"/>
      <c r="G182" s="237"/>
      <c r="H182" s="601">
        <f>IF(Consolidado_Geral!$G$133=7.6%,-(0.0165+0.076)*F182,0)</f>
        <v>0</v>
      </c>
      <c r="I182" s="237"/>
      <c r="J182" s="614">
        <f t="shared" si="6"/>
        <v>0</v>
      </c>
      <c r="K182" s="237"/>
      <c r="L182" s="614">
        <f t="shared" si="7"/>
        <v>0</v>
      </c>
      <c r="M182" s="237"/>
      <c r="N182" s="614">
        <f t="shared" si="8"/>
        <v>0</v>
      </c>
    </row>
    <row r="183" spans="2:14">
      <c r="B183" s="793">
        <v>171</v>
      </c>
      <c r="C183" s="807"/>
      <c r="D183" s="808"/>
      <c r="E183" s="809"/>
      <c r="F183" s="810"/>
      <c r="G183" s="237"/>
      <c r="H183" s="601">
        <f>IF(Consolidado_Geral!$G$133=7.6%,-(0.0165+0.076)*F183,0)</f>
        <v>0</v>
      </c>
      <c r="I183" s="237"/>
      <c r="J183" s="614">
        <f t="shared" si="6"/>
        <v>0</v>
      </c>
      <c r="K183" s="237"/>
      <c r="L183" s="614">
        <f t="shared" si="7"/>
        <v>0</v>
      </c>
      <c r="M183" s="237"/>
      <c r="N183" s="614">
        <f t="shared" si="8"/>
        <v>0</v>
      </c>
    </row>
    <row r="184" spans="2:14">
      <c r="B184" s="793">
        <v>172</v>
      </c>
      <c r="C184" s="807"/>
      <c r="D184" s="808"/>
      <c r="E184" s="809"/>
      <c r="F184" s="810"/>
      <c r="G184" s="237"/>
      <c r="H184" s="601">
        <f>IF(Consolidado_Geral!$G$133=7.6%,-(0.0165+0.076)*F184,0)</f>
        <v>0</v>
      </c>
      <c r="I184" s="237"/>
      <c r="J184" s="614">
        <f t="shared" si="6"/>
        <v>0</v>
      </c>
      <c r="K184" s="237"/>
      <c r="L184" s="614">
        <f t="shared" si="7"/>
        <v>0</v>
      </c>
      <c r="M184" s="237"/>
      <c r="N184" s="614">
        <f t="shared" si="8"/>
        <v>0</v>
      </c>
    </row>
    <row r="185" spans="2:14">
      <c r="B185" s="793">
        <v>173</v>
      </c>
      <c r="C185" s="807"/>
      <c r="D185" s="808"/>
      <c r="E185" s="809"/>
      <c r="F185" s="810"/>
      <c r="G185" s="237"/>
      <c r="H185" s="601">
        <f>IF(Consolidado_Geral!$G$133=7.6%,-(0.0165+0.076)*F185,0)</f>
        <v>0</v>
      </c>
      <c r="I185" s="237"/>
      <c r="J185" s="614">
        <f t="shared" si="6"/>
        <v>0</v>
      </c>
      <c r="K185" s="237"/>
      <c r="L185" s="614">
        <f t="shared" si="7"/>
        <v>0</v>
      </c>
      <c r="M185" s="237"/>
      <c r="N185" s="614">
        <f t="shared" si="8"/>
        <v>0</v>
      </c>
    </row>
    <row r="186" spans="2:14">
      <c r="B186" s="793">
        <v>174</v>
      </c>
      <c r="C186" s="807"/>
      <c r="D186" s="808"/>
      <c r="E186" s="809"/>
      <c r="F186" s="810"/>
      <c r="G186" s="237"/>
      <c r="H186" s="601">
        <f>IF(Consolidado_Geral!$G$133=7.6%,-(0.0165+0.076)*F186,0)</f>
        <v>0</v>
      </c>
      <c r="I186" s="237"/>
      <c r="J186" s="614">
        <f t="shared" si="6"/>
        <v>0</v>
      </c>
      <c r="K186" s="237"/>
      <c r="L186" s="614">
        <f t="shared" si="7"/>
        <v>0</v>
      </c>
      <c r="M186" s="237"/>
      <c r="N186" s="614">
        <f t="shared" si="8"/>
        <v>0</v>
      </c>
    </row>
    <row r="187" spans="2:14">
      <c r="B187" s="793">
        <v>175</v>
      </c>
      <c r="C187" s="807"/>
      <c r="D187" s="808"/>
      <c r="E187" s="809"/>
      <c r="F187" s="810"/>
      <c r="G187" s="237"/>
      <c r="H187" s="601">
        <f>IF(Consolidado_Geral!$G$133=7.6%,-(0.0165+0.076)*F187,0)</f>
        <v>0</v>
      </c>
      <c r="I187" s="237"/>
      <c r="J187" s="614">
        <f t="shared" si="6"/>
        <v>0</v>
      </c>
      <c r="K187" s="237"/>
      <c r="L187" s="614">
        <f t="shared" si="7"/>
        <v>0</v>
      </c>
      <c r="M187" s="237"/>
      <c r="N187" s="614">
        <f t="shared" si="8"/>
        <v>0</v>
      </c>
    </row>
    <row r="188" spans="2:14">
      <c r="B188" s="793">
        <v>176</v>
      </c>
      <c r="C188" s="807"/>
      <c r="D188" s="808"/>
      <c r="E188" s="809"/>
      <c r="F188" s="810"/>
      <c r="G188" s="237"/>
      <c r="H188" s="601">
        <f>IF(Consolidado_Geral!$G$133=7.6%,-(0.0165+0.076)*F188,0)</f>
        <v>0</v>
      </c>
      <c r="I188" s="237"/>
      <c r="J188" s="614">
        <f t="shared" si="6"/>
        <v>0</v>
      </c>
      <c r="K188" s="237"/>
      <c r="L188" s="614">
        <f t="shared" si="7"/>
        <v>0</v>
      </c>
      <c r="M188" s="237"/>
      <c r="N188" s="614">
        <f t="shared" si="8"/>
        <v>0</v>
      </c>
    </row>
    <row r="189" spans="2:14">
      <c r="B189" s="793">
        <v>177</v>
      </c>
      <c r="C189" s="807"/>
      <c r="D189" s="808"/>
      <c r="E189" s="809"/>
      <c r="F189" s="810"/>
      <c r="G189" s="237"/>
      <c r="H189" s="601">
        <f>IF(Consolidado_Geral!$G$133=7.6%,-(0.0165+0.076)*F189,0)</f>
        <v>0</v>
      </c>
      <c r="I189" s="237"/>
      <c r="J189" s="614">
        <f t="shared" si="6"/>
        <v>0</v>
      </c>
      <c r="K189" s="237"/>
      <c r="L189" s="614">
        <f t="shared" si="7"/>
        <v>0</v>
      </c>
      <c r="M189" s="237"/>
      <c r="N189" s="614">
        <f t="shared" si="8"/>
        <v>0</v>
      </c>
    </row>
    <row r="190" spans="2:14">
      <c r="B190" s="793">
        <v>178</v>
      </c>
      <c r="C190" s="807"/>
      <c r="D190" s="808"/>
      <c r="E190" s="809"/>
      <c r="F190" s="810"/>
      <c r="G190" s="237"/>
      <c r="H190" s="601">
        <f>IF(Consolidado_Geral!$G$133=7.6%,-(0.0165+0.076)*F190,0)</f>
        <v>0</v>
      </c>
      <c r="I190" s="237"/>
      <c r="J190" s="614">
        <f t="shared" si="6"/>
        <v>0</v>
      </c>
      <c r="K190" s="237"/>
      <c r="L190" s="614">
        <f t="shared" si="7"/>
        <v>0</v>
      </c>
      <c r="M190" s="237"/>
      <c r="N190" s="614">
        <f t="shared" si="8"/>
        <v>0</v>
      </c>
    </row>
    <row r="191" spans="2:14">
      <c r="B191" s="793">
        <v>179</v>
      </c>
      <c r="C191" s="807"/>
      <c r="D191" s="808"/>
      <c r="E191" s="809"/>
      <c r="F191" s="810"/>
      <c r="G191" s="237"/>
      <c r="H191" s="601">
        <f>IF(Consolidado_Geral!$G$133=7.6%,-(0.0165+0.076)*F191,0)</f>
        <v>0</v>
      </c>
      <c r="I191" s="237"/>
      <c r="J191" s="614">
        <f t="shared" si="6"/>
        <v>0</v>
      </c>
      <c r="K191" s="237"/>
      <c r="L191" s="614">
        <f t="shared" si="7"/>
        <v>0</v>
      </c>
      <c r="M191" s="237"/>
      <c r="N191" s="614">
        <f t="shared" si="8"/>
        <v>0</v>
      </c>
    </row>
    <row r="192" spans="2:14">
      <c r="B192" s="793">
        <v>180</v>
      </c>
      <c r="C192" s="807"/>
      <c r="D192" s="808"/>
      <c r="E192" s="809"/>
      <c r="F192" s="810"/>
      <c r="G192" s="237"/>
      <c r="H192" s="601">
        <f>IF(Consolidado_Geral!$G$133=7.6%,-(0.0165+0.076)*F192,0)</f>
        <v>0</v>
      </c>
      <c r="I192" s="237"/>
      <c r="J192" s="614">
        <f t="shared" si="6"/>
        <v>0</v>
      </c>
      <c r="K192" s="237"/>
      <c r="L192" s="614">
        <f t="shared" si="7"/>
        <v>0</v>
      </c>
      <c r="M192" s="237"/>
      <c r="N192" s="614">
        <f t="shared" si="8"/>
        <v>0</v>
      </c>
    </row>
    <row r="193" spans="2:14">
      <c r="B193" s="793">
        <v>181</v>
      </c>
      <c r="C193" s="807"/>
      <c r="D193" s="808"/>
      <c r="E193" s="809"/>
      <c r="F193" s="810"/>
      <c r="G193" s="237"/>
      <c r="H193" s="601">
        <f>IF(Consolidado_Geral!$G$133=7.6%,-(0.0165+0.076)*F193,0)</f>
        <v>0</v>
      </c>
      <c r="I193" s="237"/>
      <c r="J193" s="614">
        <f t="shared" si="6"/>
        <v>0</v>
      </c>
      <c r="K193" s="237"/>
      <c r="L193" s="614">
        <f t="shared" si="7"/>
        <v>0</v>
      </c>
      <c r="M193" s="237"/>
      <c r="N193" s="614">
        <f t="shared" si="8"/>
        <v>0</v>
      </c>
    </row>
    <row r="194" spans="2:14">
      <c r="B194" s="793">
        <v>182</v>
      </c>
      <c r="C194" s="807"/>
      <c r="D194" s="808"/>
      <c r="E194" s="809"/>
      <c r="F194" s="810"/>
      <c r="G194" s="237"/>
      <c r="H194" s="601">
        <f>IF(Consolidado_Geral!$G$133=7.6%,-(0.0165+0.076)*F194,0)</f>
        <v>0</v>
      </c>
      <c r="I194" s="237"/>
      <c r="J194" s="614">
        <f t="shared" si="6"/>
        <v>0</v>
      </c>
      <c r="K194" s="237"/>
      <c r="L194" s="614">
        <f t="shared" si="7"/>
        <v>0</v>
      </c>
      <c r="M194" s="237"/>
      <c r="N194" s="614">
        <f t="shared" si="8"/>
        <v>0</v>
      </c>
    </row>
    <row r="195" spans="2:14">
      <c r="B195" s="793">
        <v>183</v>
      </c>
      <c r="C195" s="807"/>
      <c r="D195" s="808"/>
      <c r="E195" s="809"/>
      <c r="F195" s="810"/>
      <c r="G195" s="237"/>
      <c r="H195" s="601">
        <f>IF(Consolidado_Geral!$G$133=7.6%,-(0.0165+0.076)*F195,0)</f>
        <v>0</v>
      </c>
      <c r="I195" s="237"/>
      <c r="J195" s="614">
        <f t="shared" si="6"/>
        <v>0</v>
      </c>
      <c r="K195" s="237"/>
      <c r="L195" s="614">
        <f t="shared" si="7"/>
        <v>0</v>
      </c>
      <c r="M195" s="237"/>
      <c r="N195" s="614">
        <f t="shared" si="8"/>
        <v>0</v>
      </c>
    </row>
    <row r="196" spans="2:14">
      <c r="B196" s="793">
        <v>184</v>
      </c>
      <c r="C196" s="807"/>
      <c r="D196" s="808"/>
      <c r="E196" s="809"/>
      <c r="F196" s="810"/>
      <c r="G196" s="237"/>
      <c r="H196" s="601">
        <f>IF(Consolidado_Geral!$G$133=7.6%,-(0.0165+0.076)*F196,0)</f>
        <v>0</v>
      </c>
      <c r="I196" s="237"/>
      <c r="J196" s="614">
        <f t="shared" si="6"/>
        <v>0</v>
      </c>
      <c r="K196" s="237"/>
      <c r="L196" s="614">
        <f t="shared" si="7"/>
        <v>0</v>
      </c>
      <c r="M196" s="237"/>
      <c r="N196" s="614">
        <f t="shared" si="8"/>
        <v>0</v>
      </c>
    </row>
    <row r="197" spans="2:14">
      <c r="B197" s="793">
        <v>185</v>
      </c>
      <c r="C197" s="807"/>
      <c r="D197" s="808"/>
      <c r="E197" s="809"/>
      <c r="F197" s="810"/>
      <c r="G197" s="237"/>
      <c r="H197" s="601">
        <f>IF(Consolidado_Geral!$G$133=7.6%,-(0.0165+0.076)*F197,0)</f>
        <v>0</v>
      </c>
      <c r="I197" s="237"/>
      <c r="J197" s="614">
        <f t="shared" si="6"/>
        <v>0</v>
      </c>
      <c r="K197" s="237"/>
      <c r="L197" s="614">
        <f t="shared" si="7"/>
        <v>0</v>
      </c>
      <c r="M197" s="237"/>
      <c r="N197" s="614">
        <f t="shared" si="8"/>
        <v>0</v>
      </c>
    </row>
    <row r="198" spans="2:14">
      <c r="B198" s="793">
        <v>186</v>
      </c>
      <c r="C198" s="807"/>
      <c r="D198" s="808"/>
      <c r="E198" s="809"/>
      <c r="F198" s="810"/>
      <c r="G198" s="237"/>
      <c r="H198" s="601">
        <f>IF(Consolidado_Geral!$G$133=7.6%,-(0.0165+0.076)*F198,0)</f>
        <v>0</v>
      </c>
      <c r="I198" s="237"/>
      <c r="J198" s="614">
        <f t="shared" si="6"/>
        <v>0</v>
      </c>
      <c r="K198" s="237"/>
      <c r="L198" s="614">
        <f t="shared" si="7"/>
        <v>0</v>
      </c>
      <c r="M198" s="237"/>
      <c r="N198" s="614">
        <f t="shared" si="8"/>
        <v>0</v>
      </c>
    </row>
    <row r="199" spans="2:14">
      <c r="B199" s="793">
        <v>187</v>
      </c>
      <c r="C199" s="807"/>
      <c r="D199" s="808"/>
      <c r="E199" s="809"/>
      <c r="F199" s="810"/>
      <c r="G199" s="237"/>
      <c r="H199" s="601">
        <f>IF(Consolidado_Geral!$G$133=7.6%,-(0.0165+0.076)*F199,0)</f>
        <v>0</v>
      </c>
      <c r="I199" s="237"/>
      <c r="J199" s="614">
        <f t="shared" si="6"/>
        <v>0</v>
      </c>
      <c r="K199" s="237"/>
      <c r="L199" s="614">
        <f t="shared" si="7"/>
        <v>0</v>
      </c>
      <c r="M199" s="237"/>
      <c r="N199" s="614">
        <f t="shared" si="8"/>
        <v>0</v>
      </c>
    </row>
    <row r="200" spans="2:14">
      <c r="B200" s="793">
        <v>188</v>
      </c>
      <c r="C200" s="807"/>
      <c r="D200" s="808"/>
      <c r="E200" s="809"/>
      <c r="F200" s="810"/>
      <c r="G200" s="237"/>
      <c r="H200" s="601">
        <f>IF(Consolidado_Geral!$G$133=7.6%,-(0.0165+0.076)*F200,0)</f>
        <v>0</v>
      </c>
      <c r="I200" s="237"/>
      <c r="J200" s="614">
        <f t="shared" si="6"/>
        <v>0</v>
      </c>
      <c r="K200" s="237"/>
      <c r="L200" s="614">
        <f t="shared" si="7"/>
        <v>0</v>
      </c>
      <c r="M200" s="237"/>
      <c r="N200" s="614">
        <f t="shared" si="8"/>
        <v>0</v>
      </c>
    </row>
    <row r="201" spans="2:14">
      <c r="B201" s="793">
        <v>189</v>
      </c>
      <c r="C201" s="807"/>
      <c r="D201" s="808"/>
      <c r="E201" s="809"/>
      <c r="F201" s="810"/>
      <c r="G201" s="237"/>
      <c r="H201" s="601">
        <f>IF(Consolidado_Geral!$G$133=7.6%,-(0.0165+0.076)*F201,0)</f>
        <v>0</v>
      </c>
      <c r="I201" s="237"/>
      <c r="J201" s="614">
        <f t="shared" si="6"/>
        <v>0</v>
      </c>
      <c r="K201" s="237"/>
      <c r="L201" s="614">
        <f t="shared" si="7"/>
        <v>0</v>
      </c>
      <c r="M201" s="237"/>
      <c r="N201" s="614">
        <f t="shared" si="8"/>
        <v>0</v>
      </c>
    </row>
    <row r="202" spans="2:14">
      <c r="B202" s="793">
        <v>190</v>
      </c>
      <c r="C202" s="807"/>
      <c r="D202" s="808"/>
      <c r="E202" s="809"/>
      <c r="F202" s="810"/>
      <c r="G202" s="237"/>
      <c r="H202" s="601">
        <f>IF(Consolidado_Geral!$G$133=7.6%,-(0.0165+0.076)*F202,0)</f>
        <v>0</v>
      </c>
      <c r="I202" s="237"/>
      <c r="J202" s="614">
        <f t="shared" si="6"/>
        <v>0</v>
      </c>
      <c r="K202" s="237"/>
      <c r="L202" s="614">
        <f t="shared" si="7"/>
        <v>0</v>
      </c>
      <c r="M202" s="237"/>
      <c r="N202" s="614">
        <f t="shared" si="8"/>
        <v>0</v>
      </c>
    </row>
    <row r="203" spans="2:14">
      <c r="B203" s="793">
        <v>191</v>
      </c>
      <c r="C203" s="807"/>
      <c r="D203" s="808"/>
      <c r="E203" s="809"/>
      <c r="F203" s="810"/>
      <c r="G203" s="237"/>
      <c r="H203" s="601">
        <f>IF(Consolidado_Geral!$G$133=7.6%,-(0.0165+0.076)*F203,0)</f>
        <v>0</v>
      </c>
      <c r="I203" s="237"/>
      <c r="J203" s="614">
        <f t="shared" si="6"/>
        <v>0</v>
      </c>
      <c r="K203" s="237"/>
      <c r="L203" s="614">
        <f t="shared" si="7"/>
        <v>0</v>
      </c>
      <c r="M203" s="237"/>
      <c r="N203" s="614">
        <f t="shared" si="8"/>
        <v>0</v>
      </c>
    </row>
    <row r="204" spans="2:14">
      <c r="B204" s="793">
        <v>192</v>
      </c>
      <c r="C204" s="807"/>
      <c r="D204" s="808"/>
      <c r="E204" s="809"/>
      <c r="F204" s="810"/>
      <c r="G204" s="237"/>
      <c r="H204" s="601">
        <f>IF(Consolidado_Geral!$G$133=7.6%,-(0.0165+0.076)*F204,0)</f>
        <v>0</v>
      </c>
      <c r="I204" s="237"/>
      <c r="J204" s="614">
        <f t="shared" si="6"/>
        <v>0</v>
      </c>
      <c r="K204" s="237"/>
      <c r="L204" s="614">
        <f t="shared" si="7"/>
        <v>0</v>
      </c>
      <c r="M204" s="237"/>
      <c r="N204" s="614">
        <f t="shared" si="8"/>
        <v>0</v>
      </c>
    </row>
    <row r="205" spans="2:14">
      <c r="B205" s="793">
        <v>193</v>
      </c>
      <c r="C205" s="807"/>
      <c r="D205" s="808"/>
      <c r="E205" s="809"/>
      <c r="F205" s="810"/>
      <c r="G205" s="237"/>
      <c r="H205" s="601">
        <f>IF(Consolidado_Geral!$G$133=7.6%,-(0.0165+0.076)*F205,0)</f>
        <v>0</v>
      </c>
      <c r="I205" s="237"/>
      <c r="J205" s="614">
        <f t="shared" ref="J205:J306" si="9">F205+H205</f>
        <v>0</v>
      </c>
      <c r="K205" s="237"/>
      <c r="L205" s="614">
        <f t="shared" ref="L205:L268" si="10">J205*E205</f>
        <v>0</v>
      </c>
      <c r="M205" s="237"/>
      <c r="N205" s="614">
        <f t="shared" ref="N205:N306" si="11">L205*12</f>
        <v>0</v>
      </c>
    </row>
    <row r="206" spans="2:14">
      <c r="B206" s="793">
        <v>194</v>
      </c>
      <c r="C206" s="807"/>
      <c r="D206" s="808"/>
      <c r="E206" s="809"/>
      <c r="F206" s="810"/>
      <c r="G206" s="237"/>
      <c r="H206" s="601">
        <f>IF(Consolidado_Geral!$G$133=7.6%,-(0.0165+0.076)*F206,0)</f>
        <v>0</v>
      </c>
      <c r="I206" s="237"/>
      <c r="J206" s="614">
        <f t="shared" si="9"/>
        <v>0</v>
      </c>
      <c r="K206" s="237"/>
      <c r="L206" s="614">
        <f t="shared" si="10"/>
        <v>0</v>
      </c>
      <c r="M206" s="237"/>
      <c r="N206" s="614">
        <f t="shared" si="11"/>
        <v>0</v>
      </c>
    </row>
    <row r="207" spans="2:14">
      <c r="B207" s="793">
        <v>195</v>
      </c>
      <c r="C207" s="807"/>
      <c r="D207" s="808"/>
      <c r="E207" s="809"/>
      <c r="F207" s="810"/>
      <c r="G207" s="237"/>
      <c r="H207" s="601">
        <f>IF(Consolidado_Geral!$G$133=7.6%,-(0.0165+0.076)*F207,0)</f>
        <v>0</v>
      </c>
      <c r="I207" s="237"/>
      <c r="J207" s="614">
        <f t="shared" si="9"/>
        <v>0</v>
      </c>
      <c r="K207" s="237"/>
      <c r="L207" s="614">
        <f t="shared" si="10"/>
        <v>0</v>
      </c>
      <c r="M207" s="237"/>
      <c r="N207" s="614">
        <f t="shared" si="11"/>
        <v>0</v>
      </c>
    </row>
    <row r="208" spans="2:14">
      <c r="B208" s="793">
        <v>196</v>
      </c>
      <c r="C208" s="807"/>
      <c r="D208" s="808"/>
      <c r="E208" s="809"/>
      <c r="F208" s="810"/>
      <c r="G208" s="237"/>
      <c r="H208" s="601">
        <f>IF(Consolidado_Geral!$G$133=7.6%,-(0.0165+0.076)*F208,0)</f>
        <v>0</v>
      </c>
      <c r="I208" s="237"/>
      <c r="J208" s="614">
        <f t="shared" si="9"/>
        <v>0</v>
      </c>
      <c r="K208" s="237"/>
      <c r="L208" s="614">
        <f t="shared" si="10"/>
        <v>0</v>
      </c>
      <c r="M208" s="237"/>
      <c r="N208" s="614">
        <f t="shared" si="11"/>
        <v>0</v>
      </c>
    </row>
    <row r="209" spans="2:14">
      <c r="B209" s="793">
        <v>197</v>
      </c>
      <c r="C209" s="807"/>
      <c r="D209" s="808"/>
      <c r="E209" s="809"/>
      <c r="F209" s="810"/>
      <c r="G209" s="237"/>
      <c r="H209" s="601">
        <f>IF(Consolidado_Geral!$G$133=7.6%,-(0.0165+0.076)*F209,0)</f>
        <v>0</v>
      </c>
      <c r="I209" s="237"/>
      <c r="J209" s="614">
        <f t="shared" si="9"/>
        <v>0</v>
      </c>
      <c r="K209" s="237"/>
      <c r="L209" s="614">
        <f t="shared" si="10"/>
        <v>0</v>
      </c>
      <c r="M209" s="237"/>
      <c r="N209" s="614">
        <f t="shared" si="11"/>
        <v>0</v>
      </c>
    </row>
    <row r="210" spans="2:14">
      <c r="B210" s="793">
        <v>198</v>
      </c>
      <c r="C210" s="807"/>
      <c r="D210" s="808"/>
      <c r="E210" s="809"/>
      <c r="F210" s="810"/>
      <c r="G210" s="237"/>
      <c r="H210" s="601">
        <f>IF(Consolidado_Geral!$G$133=7.6%,-(0.0165+0.076)*F210,0)</f>
        <v>0</v>
      </c>
      <c r="I210" s="237"/>
      <c r="J210" s="614">
        <f t="shared" si="9"/>
        <v>0</v>
      </c>
      <c r="K210" s="237"/>
      <c r="L210" s="614">
        <f t="shared" si="10"/>
        <v>0</v>
      </c>
      <c r="M210" s="237"/>
      <c r="N210" s="614">
        <f t="shared" si="11"/>
        <v>0</v>
      </c>
    </row>
    <row r="211" spans="2:14">
      <c r="B211" s="793">
        <v>199</v>
      </c>
      <c r="C211" s="807"/>
      <c r="D211" s="808"/>
      <c r="E211" s="809"/>
      <c r="F211" s="810"/>
      <c r="G211" s="237"/>
      <c r="H211" s="601">
        <f>IF(Consolidado_Geral!$G$133=7.6%,-(0.0165+0.076)*F211,0)</f>
        <v>0</v>
      </c>
      <c r="I211" s="237"/>
      <c r="J211" s="614">
        <f t="shared" si="9"/>
        <v>0</v>
      </c>
      <c r="K211" s="237"/>
      <c r="L211" s="614">
        <f t="shared" si="10"/>
        <v>0</v>
      </c>
      <c r="M211" s="237"/>
      <c r="N211" s="614">
        <f t="shared" si="11"/>
        <v>0</v>
      </c>
    </row>
    <row r="212" spans="2:14">
      <c r="B212" s="793">
        <v>200</v>
      </c>
      <c r="C212" s="807"/>
      <c r="D212" s="808"/>
      <c r="E212" s="809"/>
      <c r="F212" s="810"/>
      <c r="G212" s="237"/>
      <c r="H212" s="601">
        <f>IF(Consolidado_Geral!$G$133=7.6%,-(0.0165+0.076)*F212,0)</f>
        <v>0</v>
      </c>
      <c r="I212" s="237"/>
      <c r="J212" s="614">
        <f t="shared" si="9"/>
        <v>0</v>
      </c>
      <c r="K212" s="237"/>
      <c r="L212" s="614">
        <f t="shared" si="10"/>
        <v>0</v>
      </c>
      <c r="M212" s="237"/>
      <c r="N212" s="614">
        <f t="shared" si="11"/>
        <v>0</v>
      </c>
    </row>
    <row r="213" spans="2:14">
      <c r="B213" s="793">
        <v>201</v>
      </c>
      <c r="C213" s="807"/>
      <c r="D213" s="808"/>
      <c r="E213" s="809"/>
      <c r="F213" s="810"/>
      <c r="G213" s="237"/>
      <c r="H213" s="601">
        <f>IF(Consolidado_Geral!$G$133=7.6%,-(0.0165+0.076)*F213,0)</f>
        <v>0</v>
      </c>
      <c r="I213" s="237"/>
      <c r="J213" s="614">
        <f t="shared" si="9"/>
        <v>0</v>
      </c>
      <c r="K213" s="237"/>
      <c r="L213" s="614">
        <f t="shared" si="10"/>
        <v>0</v>
      </c>
      <c r="M213" s="237"/>
      <c r="N213" s="614">
        <f t="shared" si="11"/>
        <v>0</v>
      </c>
    </row>
    <row r="214" spans="2:14">
      <c r="B214" s="793">
        <v>202</v>
      </c>
      <c r="C214" s="807"/>
      <c r="D214" s="808"/>
      <c r="E214" s="809"/>
      <c r="F214" s="810"/>
      <c r="G214" s="237"/>
      <c r="H214" s="601">
        <f>IF(Consolidado_Geral!$G$133=7.6%,-(0.0165+0.076)*F214,0)</f>
        <v>0</v>
      </c>
      <c r="I214" s="237"/>
      <c r="J214" s="614">
        <f t="shared" si="9"/>
        <v>0</v>
      </c>
      <c r="K214" s="237"/>
      <c r="L214" s="614">
        <f t="shared" si="10"/>
        <v>0</v>
      </c>
      <c r="M214" s="237"/>
      <c r="N214" s="614">
        <f t="shared" si="11"/>
        <v>0</v>
      </c>
    </row>
    <row r="215" spans="2:14">
      <c r="B215" s="793">
        <v>203</v>
      </c>
      <c r="C215" s="807"/>
      <c r="D215" s="808"/>
      <c r="E215" s="809"/>
      <c r="F215" s="810"/>
      <c r="G215" s="237"/>
      <c r="H215" s="601">
        <f>IF(Consolidado_Geral!$G$133=7.6%,-(0.0165+0.076)*F215,0)</f>
        <v>0</v>
      </c>
      <c r="I215" s="237"/>
      <c r="J215" s="614">
        <f t="shared" si="9"/>
        <v>0</v>
      </c>
      <c r="K215" s="237"/>
      <c r="L215" s="614">
        <f t="shared" si="10"/>
        <v>0</v>
      </c>
      <c r="M215" s="237"/>
      <c r="N215" s="614">
        <f t="shared" si="11"/>
        <v>0</v>
      </c>
    </row>
    <row r="216" spans="2:14">
      <c r="B216" s="793">
        <v>204</v>
      </c>
      <c r="C216" s="807"/>
      <c r="D216" s="808"/>
      <c r="E216" s="809"/>
      <c r="F216" s="810"/>
      <c r="G216" s="237"/>
      <c r="H216" s="601">
        <f>IF(Consolidado_Geral!$G$133=7.6%,-(0.0165+0.076)*F216,0)</f>
        <v>0</v>
      </c>
      <c r="I216" s="237"/>
      <c r="J216" s="614">
        <f t="shared" si="9"/>
        <v>0</v>
      </c>
      <c r="K216" s="237"/>
      <c r="L216" s="614">
        <f t="shared" si="10"/>
        <v>0</v>
      </c>
      <c r="M216" s="237"/>
      <c r="N216" s="614">
        <f t="shared" si="11"/>
        <v>0</v>
      </c>
    </row>
    <row r="217" spans="2:14">
      <c r="B217" s="793">
        <v>205</v>
      </c>
      <c r="C217" s="807"/>
      <c r="D217" s="808"/>
      <c r="E217" s="809"/>
      <c r="F217" s="810"/>
      <c r="G217" s="237"/>
      <c r="H217" s="601">
        <f>IF(Consolidado_Geral!$G$133=7.6%,-(0.0165+0.076)*F217,0)</f>
        <v>0</v>
      </c>
      <c r="I217" s="237"/>
      <c r="J217" s="614">
        <f t="shared" si="9"/>
        <v>0</v>
      </c>
      <c r="K217" s="237"/>
      <c r="L217" s="614">
        <f t="shared" si="10"/>
        <v>0</v>
      </c>
      <c r="M217" s="237"/>
      <c r="N217" s="614">
        <f t="shared" si="11"/>
        <v>0</v>
      </c>
    </row>
    <row r="218" spans="2:14">
      <c r="B218" s="793">
        <v>206</v>
      </c>
      <c r="C218" s="807"/>
      <c r="D218" s="808"/>
      <c r="E218" s="809"/>
      <c r="F218" s="810"/>
      <c r="G218" s="237"/>
      <c r="H218" s="601">
        <f>IF(Consolidado_Geral!$G$133=7.6%,-(0.0165+0.076)*F218,0)</f>
        <v>0</v>
      </c>
      <c r="I218" s="237"/>
      <c r="J218" s="614">
        <f t="shared" si="9"/>
        <v>0</v>
      </c>
      <c r="K218" s="237"/>
      <c r="L218" s="614">
        <f t="shared" si="10"/>
        <v>0</v>
      </c>
      <c r="M218" s="237"/>
      <c r="N218" s="614">
        <f t="shared" si="11"/>
        <v>0</v>
      </c>
    </row>
    <row r="219" spans="2:14">
      <c r="B219" s="793">
        <v>207</v>
      </c>
      <c r="C219" s="807"/>
      <c r="D219" s="808"/>
      <c r="E219" s="809"/>
      <c r="F219" s="810"/>
      <c r="G219" s="237"/>
      <c r="H219" s="601">
        <f>IF(Consolidado_Geral!$G$133=7.6%,-(0.0165+0.076)*F219,0)</f>
        <v>0</v>
      </c>
      <c r="I219" s="237"/>
      <c r="J219" s="614">
        <f t="shared" si="9"/>
        <v>0</v>
      </c>
      <c r="K219" s="237"/>
      <c r="L219" s="614">
        <f t="shared" si="10"/>
        <v>0</v>
      </c>
      <c r="M219" s="237"/>
      <c r="N219" s="614">
        <f t="shared" si="11"/>
        <v>0</v>
      </c>
    </row>
    <row r="220" spans="2:14">
      <c r="B220" s="793">
        <v>208</v>
      </c>
      <c r="C220" s="807"/>
      <c r="D220" s="808"/>
      <c r="E220" s="809"/>
      <c r="F220" s="810"/>
      <c r="G220" s="237"/>
      <c r="H220" s="601">
        <f>IF(Consolidado_Geral!$G$133=7.6%,-(0.0165+0.076)*F220,0)</f>
        <v>0</v>
      </c>
      <c r="I220" s="237"/>
      <c r="J220" s="614">
        <f t="shared" si="9"/>
        <v>0</v>
      </c>
      <c r="K220" s="237"/>
      <c r="L220" s="614">
        <f t="shared" si="10"/>
        <v>0</v>
      </c>
      <c r="M220" s="237"/>
      <c r="N220" s="614">
        <f t="shared" si="11"/>
        <v>0</v>
      </c>
    </row>
    <row r="221" spans="2:14">
      <c r="B221" s="793">
        <v>209</v>
      </c>
      <c r="C221" s="807"/>
      <c r="D221" s="808"/>
      <c r="E221" s="809"/>
      <c r="F221" s="810"/>
      <c r="G221" s="237"/>
      <c r="H221" s="601">
        <f>IF(Consolidado_Geral!$G$133=7.6%,-(0.0165+0.076)*F221,0)</f>
        <v>0</v>
      </c>
      <c r="I221" s="237"/>
      <c r="J221" s="614">
        <f t="shared" si="9"/>
        <v>0</v>
      </c>
      <c r="K221" s="237"/>
      <c r="L221" s="614">
        <f t="shared" si="10"/>
        <v>0</v>
      </c>
      <c r="M221" s="237"/>
      <c r="N221" s="614">
        <f t="shared" si="11"/>
        <v>0</v>
      </c>
    </row>
    <row r="222" spans="2:14">
      <c r="B222" s="793">
        <v>210</v>
      </c>
      <c r="C222" s="807"/>
      <c r="D222" s="808"/>
      <c r="E222" s="809"/>
      <c r="F222" s="810"/>
      <c r="G222" s="237"/>
      <c r="H222" s="601">
        <f>IF(Consolidado_Geral!$G$133=7.6%,-(0.0165+0.076)*F222,0)</f>
        <v>0</v>
      </c>
      <c r="I222" s="237"/>
      <c r="J222" s="614">
        <f t="shared" si="9"/>
        <v>0</v>
      </c>
      <c r="K222" s="237"/>
      <c r="L222" s="614">
        <f t="shared" si="10"/>
        <v>0</v>
      </c>
      <c r="M222" s="237"/>
      <c r="N222" s="614">
        <f t="shared" si="11"/>
        <v>0</v>
      </c>
    </row>
    <row r="223" spans="2:14">
      <c r="B223" s="793">
        <v>211</v>
      </c>
      <c r="C223" s="807"/>
      <c r="D223" s="808"/>
      <c r="E223" s="809"/>
      <c r="F223" s="810"/>
      <c r="G223" s="237"/>
      <c r="H223" s="601">
        <f>IF(Consolidado_Geral!$G$133=7.6%,-(0.0165+0.076)*F223,0)</f>
        <v>0</v>
      </c>
      <c r="I223" s="237"/>
      <c r="J223" s="614">
        <f t="shared" si="9"/>
        <v>0</v>
      </c>
      <c r="K223" s="237"/>
      <c r="L223" s="614">
        <f t="shared" si="10"/>
        <v>0</v>
      </c>
      <c r="M223" s="237"/>
      <c r="N223" s="614">
        <f t="shared" si="11"/>
        <v>0</v>
      </c>
    </row>
    <row r="224" spans="2:14">
      <c r="B224" s="793">
        <v>212</v>
      </c>
      <c r="C224" s="807"/>
      <c r="D224" s="808"/>
      <c r="E224" s="809"/>
      <c r="F224" s="810"/>
      <c r="G224" s="237"/>
      <c r="H224" s="601">
        <f>IF(Consolidado_Geral!$G$133=7.6%,-(0.0165+0.076)*F224,0)</f>
        <v>0</v>
      </c>
      <c r="I224" s="237"/>
      <c r="J224" s="614">
        <f t="shared" si="9"/>
        <v>0</v>
      </c>
      <c r="K224" s="237"/>
      <c r="L224" s="614">
        <f t="shared" si="10"/>
        <v>0</v>
      </c>
      <c r="M224" s="237"/>
      <c r="N224" s="614">
        <f t="shared" si="11"/>
        <v>0</v>
      </c>
    </row>
    <row r="225" spans="2:14">
      <c r="B225" s="793">
        <v>213</v>
      </c>
      <c r="C225" s="807"/>
      <c r="D225" s="808"/>
      <c r="E225" s="809"/>
      <c r="F225" s="810"/>
      <c r="G225" s="237"/>
      <c r="H225" s="601">
        <f>IF(Consolidado_Geral!$G$133=7.6%,-(0.0165+0.076)*F225,0)</f>
        <v>0</v>
      </c>
      <c r="I225" s="237"/>
      <c r="J225" s="614">
        <f t="shared" si="9"/>
        <v>0</v>
      </c>
      <c r="K225" s="237"/>
      <c r="L225" s="614">
        <f t="shared" si="10"/>
        <v>0</v>
      </c>
      <c r="M225" s="237"/>
      <c r="N225" s="614">
        <f t="shared" si="11"/>
        <v>0</v>
      </c>
    </row>
    <row r="226" spans="2:14">
      <c r="B226" s="793">
        <v>214</v>
      </c>
      <c r="C226" s="807"/>
      <c r="D226" s="808"/>
      <c r="E226" s="809"/>
      <c r="F226" s="810"/>
      <c r="G226" s="237"/>
      <c r="H226" s="601">
        <f>IF(Consolidado_Geral!$G$133=7.6%,-(0.0165+0.076)*F226,0)</f>
        <v>0</v>
      </c>
      <c r="I226" s="237"/>
      <c r="J226" s="614">
        <f t="shared" si="9"/>
        <v>0</v>
      </c>
      <c r="K226" s="237"/>
      <c r="L226" s="614">
        <f t="shared" si="10"/>
        <v>0</v>
      </c>
      <c r="M226" s="237"/>
      <c r="N226" s="614">
        <f t="shared" si="11"/>
        <v>0</v>
      </c>
    </row>
    <row r="227" spans="2:14">
      <c r="B227" s="793">
        <v>215</v>
      </c>
      <c r="C227" s="807"/>
      <c r="D227" s="808"/>
      <c r="E227" s="809"/>
      <c r="F227" s="810"/>
      <c r="G227" s="237"/>
      <c r="H227" s="601">
        <f>IF(Consolidado_Geral!$G$133=7.6%,-(0.0165+0.076)*F227,0)</f>
        <v>0</v>
      </c>
      <c r="I227" s="237"/>
      <c r="J227" s="614">
        <f t="shared" si="9"/>
        <v>0</v>
      </c>
      <c r="K227" s="237"/>
      <c r="L227" s="614">
        <f t="shared" si="10"/>
        <v>0</v>
      </c>
      <c r="M227" s="237"/>
      <c r="N227" s="614">
        <f t="shared" si="11"/>
        <v>0</v>
      </c>
    </row>
    <row r="228" spans="2:14">
      <c r="B228" s="793">
        <v>216</v>
      </c>
      <c r="C228" s="807"/>
      <c r="D228" s="808"/>
      <c r="E228" s="809"/>
      <c r="F228" s="810"/>
      <c r="G228" s="237"/>
      <c r="H228" s="601">
        <f>IF(Consolidado_Geral!$G$133=7.6%,-(0.0165+0.076)*F228,0)</f>
        <v>0</v>
      </c>
      <c r="I228" s="237"/>
      <c r="J228" s="614">
        <f t="shared" si="9"/>
        <v>0</v>
      </c>
      <c r="K228" s="237"/>
      <c r="L228" s="614">
        <f t="shared" si="10"/>
        <v>0</v>
      </c>
      <c r="M228" s="237"/>
      <c r="N228" s="614">
        <f t="shared" si="11"/>
        <v>0</v>
      </c>
    </row>
    <row r="229" spans="2:14">
      <c r="B229" s="793">
        <v>217</v>
      </c>
      <c r="C229" s="807"/>
      <c r="D229" s="808"/>
      <c r="E229" s="809"/>
      <c r="F229" s="810"/>
      <c r="G229" s="237"/>
      <c r="H229" s="601">
        <f>IF(Consolidado_Geral!$G$133=7.6%,-(0.0165+0.076)*F229,0)</f>
        <v>0</v>
      </c>
      <c r="I229" s="237"/>
      <c r="J229" s="614">
        <f t="shared" si="9"/>
        <v>0</v>
      </c>
      <c r="K229" s="237"/>
      <c r="L229" s="614">
        <f t="shared" si="10"/>
        <v>0</v>
      </c>
      <c r="M229" s="237"/>
      <c r="N229" s="614">
        <f t="shared" si="11"/>
        <v>0</v>
      </c>
    </row>
    <row r="230" spans="2:14">
      <c r="B230" s="793">
        <v>218</v>
      </c>
      <c r="C230" s="807"/>
      <c r="D230" s="808"/>
      <c r="E230" s="809"/>
      <c r="F230" s="810"/>
      <c r="G230" s="237"/>
      <c r="H230" s="601">
        <f>IF(Consolidado_Geral!$G$133=7.6%,-(0.0165+0.076)*F230,0)</f>
        <v>0</v>
      </c>
      <c r="I230" s="237"/>
      <c r="J230" s="614">
        <f t="shared" si="9"/>
        <v>0</v>
      </c>
      <c r="K230" s="237"/>
      <c r="L230" s="614">
        <f t="shared" si="10"/>
        <v>0</v>
      </c>
      <c r="M230" s="237"/>
      <c r="N230" s="614">
        <f t="shared" si="11"/>
        <v>0</v>
      </c>
    </row>
    <row r="231" spans="2:14">
      <c r="B231" s="793">
        <v>219</v>
      </c>
      <c r="C231" s="807"/>
      <c r="D231" s="808"/>
      <c r="E231" s="809"/>
      <c r="F231" s="810"/>
      <c r="G231" s="237"/>
      <c r="H231" s="601">
        <f>IF(Consolidado_Geral!$G$133=7.6%,-(0.0165+0.076)*F231,0)</f>
        <v>0</v>
      </c>
      <c r="I231" s="237"/>
      <c r="J231" s="614">
        <f t="shared" si="9"/>
        <v>0</v>
      </c>
      <c r="K231" s="237"/>
      <c r="L231" s="614">
        <f t="shared" si="10"/>
        <v>0</v>
      </c>
      <c r="M231" s="237"/>
      <c r="N231" s="614">
        <f t="shared" si="11"/>
        <v>0</v>
      </c>
    </row>
    <row r="232" spans="2:14">
      <c r="B232" s="793">
        <v>220</v>
      </c>
      <c r="C232" s="807"/>
      <c r="D232" s="808"/>
      <c r="E232" s="809"/>
      <c r="F232" s="810"/>
      <c r="G232" s="237"/>
      <c r="H232" s="601">
        <f>IF(Consolidado_Geral!$G$133=7.6%,-(0.0165+0.076)*F232,0)</f>
        <v>0</v>
      </c>
      <c r="I232" s="237"/>
      <c r="J232" s="614">
        <f t="shared" si="9"/>
        <v>0</v>
      </c>
      <c r="K232" s="237"/>
      <c r="L232" s="614">
        <f t="shared" si="10"/>
        <v>0</v>
      </c>
      <c r="M232" s="237"/>
      <c r="N232" s="614">
        <f t="shared" si="11"/>
        <v>0</v>
      </c>
    </row>
    <row r="233" spans="2:14">
      <c r="B233" s="793">
        <v>221</v>
      </c>
      <c r="C233" s="807"/>
      <c r="D233" s="808"/>
      <c r="E233" s="809"/>
      <c r="F233" s="810"/>
      <c r="G233" s="237"/>
      <c r="H233" s="601">
        <f>IF(Consolidado_Geral!$G$133=7.6%,-(0.0165+0.076)*F233,0)</f>
        <v>0</v>
      </c>
      <c r="I233" s="237"/>
      <c r="J233" s="614">
        <f t="shared" si="9"/>
        <v>0</v>
      </c>
      <c r="K233" s="237"/>
      <c r="L233" s="614">
        <f t="shared" si="10"/>
        <v>0</v>
      </c>
      <c r="M233" s="237"/>
      <c r="N233" s="614">
        <f t="shared" si="11"/>
        <v>0</v>
      </c>
    </row>
    <row r="234" spans="2:14">
      <c r="B234" s="793">
        <v>222</v>
      </c>
      <c r="C234" s="807"/>
      <c r="D234" s="808"/>
      <c r="E234" s="809"/>
      <c r="F234" s="810"/>
      <c r="G234" s="237"/>
      <c r="H234" s="601">
        <f>IF(Consolidado_Geral!$G$133=7.6%,-(0.0165+0.076)*F234,0)</f>
        <v>0</v>
      </c>
      <c r="I234" s="237"/>
      <c r="J234" s="614">
        <f t="shared" si="9"/>
        <v>0</v>
      </c>
      <c r="K234" s="237"/>
      <c r="L234" s="614">
        <f t="shared" si="10"/>
        <v>0</v>
      </c>
      <c r="M234" s="237"/>
      <c r="N234" s="614">
        <f t="shared" si="11"/>
        <v>0</v>
      </c>
    </row>
    <row r="235" spans="2:14">
      <c r="B235" s="793">
        <v>223</v>
      </c>
      <c r="C235" s="807"/>
      <c r="D235" s="808"/>
      <c r="E235" s="809"/>
      <c r="F235" s="810"/>
      <c r="G235" s="237"/>
      <c r="H235" s="601">
        <f>IF(Consolidado_Geral!$G$133=7.6%,-(0.0165+0.076)*F235,0)</f>
        <v>0</v>
      </c>
      <c r="I235" s="237"/>
      <c r="J235" s="614">
        <f t="shared" si="9"/>
        <v>0</v>
      </c>
      <c r="K235" s="237"/>
      <c r="L235" s="614">
        <f t="shared" si="10"/>
        <v>0</v>
      </c>
      <c r="M235" s="237"/>
      <c r="N235" s="614">
        <f t="shared" si="11"/>
        <v>0</v>
      </c>
    </row>
    <row r="236" spans="2:14">
      <c r="B236" s="793">
        <v>224</v>
      </c>
      <c r="C236" s="807"/>
      <c r="D236" s="808"/>
      <c r="E236" s="809"/>
      <c r="F236" s="810"/>
      <c r="G236" s="237"/>
      <c r="H236" s="601">
        <f>IF(Consolidado_Geral!$G$133=7.6%,-(0.0165+0.076)*F236,0)</f>
        <v>0</v>
      </c>
      <c r="I236" s="237"/>
      <c r="J236" s="614">
        <f t="shared" si="9"/>
        <v>0</v>
      </c>
      <c r="K236" s="237"/>
      <c r="L236" s="614">
        <f t="shared" si="10"/>
        <v>0</v>
      </c>
      <c r="M236" s="237"/>
      <c r="N236" s="614">
        <f t="shared" si="11"/>
        <v>0</v>
      </c>
    </row>
    <row r="237" spans="2:14">
      <c r="B237" s="793">
        <v>225</v>
      </c>
      <c r="C237" s="807"/>
      <c r="D237" s="808"/>
      <c r="E237" s="809"/>
      <c r="F237" s="810"/>
      <c r="G237" s="237"/>
      <c r="H237" s="601">
        <f>IF(Consolidado_Geral!$G$133=7.6%,-(0.0165+0.076)*F237,0)</f>
        <v>0</v>
      </c>
      <c r="I237" s="237"/>
      <c r="J237" s="614">
        <f t="shared" si="9"/>
        <v>0</v>
      </c>
      <c r="K237" s="237"/>
      <c r="L237" s="614">
        <f t="shared" si="10"/>
        <v>0</v>
      </c>
      <c r="M237" s="237"/>
      <c r="N237" s="614">
        <f t="shared" si="11"/>
        <v>0</v>
      </c>
    </row>
    <row r="238" spans="2:14">
      <c r="B238" s="793">
        <v>226</v>
      </c>
      <c r="C238" s="807"/>
      <c r="D238" s="808"/>
      <c r="E238" s="809"/>
      <c r="F238" s="810"/>
      <c r="G238" s="237"/>
      <c r="H238" s="601">
        <f>IF(Consolidado_Geral!$G$133=7.6%,-(0.0165+0.076)*F238,0)</f>
        <v>0</v>
      </c>
      <c r="I238" s="237"/>
      <c r="J238" s="614">
        <f t="shared" si="9"/>
        <v>0</v>
      </c>
      <c r="K238" s="237"/>
      <c r="L238" s="614">
        <f t="shared" si="10"/>
        <v>0</v>
      </c>
      <c r="M238" s="237"/>
      <c r="N238" s="614">
        <f t="shared" si="11"/>
        <v>0</v>
      </c>
    </row>
    <row r="239" spans="2:14">
      <c r="B239" s="793">
        <v>227</v>
      </c>
      <c r="C239" s="807"/>
      <c r="D239" s="808"/>
      <c r="E239" s="809"/>
      <c r="F239" s="810"/>
      <c r="G239" s="237"/>
      <c r="H239" s="601">
        <f>IF(Consolidado_Geral!$G$133=7.6%,-(0.0165+0.076)*F239,0)</f>
        <v>0</v>
      </c>
      <c r="I239" s="237"/>
      <c r="J239" s="614">
        <f t="shared" si="9"/>
        <v>0</v>
      </c>
      <c r="K239" s="237"/>
      <c r="L239" s="614">
        <f t="shared" si="10"/>
        <v>0</v>
      </c>
      <c r="M239" s="237"/>
      <c r="N239" s="614">
        <f t="shared" si="11"/>
        <v>0</v>
      </c>
    </row>
    <row r="240" spans="2:14">
      <c r="B240" s="793">
        <v>228</v>
      </c>
      <c r="C240" s="807"/>
      <c r="D240" s="808"/>
      <c r="E240" s="809"/>
      <c r="F240" s="810"/>
      <c r="G240" s="237"/>
      <c r="H240" s="601">
        <f>IF(Consolidado_Geral!$G$133=7.6%,-(0.0165+0.076)*F240,0)</f>
        <v>0</v>
      </c>
      <c r="I240" s="237"/>
      <c r="J240" s="614">
        <f t="shared" si="9"/>
        <v>0</v>
      </c>
      <c r="K240" s="237"/>
      <c r="L240" s="614">
        <f t="shared" si="10"/>
        <v>0</v>
      </c>
      <c r="M240" s="237"/>
      <c r="N240" s="614">
        <f t="shared" si="11"/>
        <v>0</v>
      </c>
    </row>
    <row r="241" spans="2:14">
      <c r="B241" s="793">
        <v>229</v>
      </c>
      <c r="C241" s="807"/>
      <c r="D241" s="808"/>
      <c r="E241" s="809"/>
      <c r="F241" s="810"/>
      <c r="G241" s="237"/>
      <c r="H241" s="601">
        <f>IF(Consolidado_Geral!$G$133=7.6%,-(0.0165+0.076)*F241,0)</f>
        <v>0</v>
      </c>
      <c r="I241" s="237"/>
      <c r="J241" s="614">
        <f t="shared" si="9"/>
        <v>0</v>
      </c>
      <c r="K241" s="237"/>
      <c r="L241" s="614">
        <f t="shared" si="10"/>
        <v>0</v>
      </c>
      <c r="M241" s="237"/>
      <c r="N241" s="614">
        <f t="shared" si="11"/>
        <v>0</v>
      </c>
    </row>
    <row r="242" spans="2:14">
      <c r="B242" s="793">
        <v>230</v>
      </c>
      <c r="C242" s="807"/>
      <c r="D242" s="808"/>
      <c r="E242" s="809"/>
      <c r="F242" s="810"/>
      <c r="G242" s="237"/>
      <c r="H242" s="601">
        <f>IF(Consolidado_Geral!$G$133=7.6%,-(0.0165+0.076)*F242,0)</f>
        <v>0</v>
      </c>
      <c r="I242" s="237"/>
      <c r="J242" s="614">
        <f t="shared" si="9"/>
        <v>0</v>
      </c>
      <c r="K242" s="237"/>
      <c r="L242" s="614">
        <f t="shared" si="10"/>
        <v>0</v>
      </c>
      <c r="M242" s="237"/>
      <c r="N242" s="614">
        <f t="shared" si="11"/>
        <v>0</v>
      </c>
    </row>
    <row r="243" spans="2:14">
      <c r="B243" s="793">
        <v>231</v>
      </c>
      <c r="C243" s="807"/>
      <c r="D243" s="808"/>
      <c r="E243" s="809"/>
      <c r="F243" s="810"/>
      <c r="G243" s="237"/>
      <c r="H243" s="601">
        <f>IF(Consolidado_Geral!$G$133=7.6%,-(0.0165+0.076)*F243,0)</f>
        <v>0</v>
      </c>
      <c r="I243" s="237"/>
      <c r="J243" s="614">
        <f t="shared" si="9"/>
        <v>0</v>
      </c>
      <c r="K243" s="237"/>
      <c r="L243" s="614">
        <f t="shared" si="10"/>
        <v>0</v>
      </c>
      <c r="M243" s="237"/>
      <c r="N243" s="614">
        <f t="shared" si="11"/>
        <v>0</v>
      </c>
    </row>
    <row r="244" spans="2:14">
      <c r="B244" s="793">
        <v>232</v>
      </c>
      <c r="C244" s="807"/>
      <c r="D244" s="808"/>
      <c r="E244" s="809"/>
      <c r="F244" s="810"/>
      <c r="G244" s="237"/>
      <c r="H244" s="601">
        <f>IF(Consolidado_Geral!$G$133=7.6%,-(0.0165+0.076)*F244,0)</f>
        <v>0</v>
      </c>
      <c r="I244" s="237"/>
      <c r="J244" s="614">
        <f t="shared" si="9"/>
        <v>0</v>
      </c>
      <c r="K244" s="237"/>
      <c r="L244" s="614">
        <f t="shared" si="10"/>
        <v>0</v>
      </c>
      <c r="M244" s="237"/>
      <c r="N244" s="614">
        <f t="shared" si="11"/>
        <v>0</v>
      </c>
    </row>
    <row r="245" spans="2:14">
      <c r="B245" s="793">
        <v>233</v>
      </c>
      <c r="C245" s="807"/>
      <c r="D245" s="808"/>
      <c r="E245" s="809"/>
      <c r="F245" s="810"/>
      <c r="G245" s="237"/>
      <c r="H245" s="601">
        <f>IF(Consolidado_Geral!$G$133=7.6%,-(0.0165+0.076)*F245,0)</f>
        <v>0</v>
      </c>
      <c r="I245" s="237"/>
      <c r="J245" s="614">
        <f t="shared" si="9"/>
        <v>0</v>
      </c>
      <c r="K245" s="237"/>
      <c r="L245" s="614">
        <f t="shared" si="10"/>
        <v>0</v>
      </c>
      <c r="M245" s="237"/>
      <c r="N245" s="614">
        <f t="shared" si="11"/>
        <v>0</v>
      </c>
    </row>
    <row r="246" spans="2:14">
      <c r="B246" s="793">
        <v>234</v>
      </c>
      <c r="C246" s="807"/>
      <c r="D246" s="808"/>
      <c r="E246" s="809"/>
      <c r="F246" s="810"/>
      <c r="G246" s="237"/>
      <c r="H246" s="601">
        <f>IF(Consolidado_Geral!$G$133=7.6%,-(0.0165+0.076)*F246,0)</f>
        <v>0</v>
      </c>
      <c r="I246" s="237"/>
      <c r="J246" s="614">
        <f t="shared" si="9"/>
        <v>0</v>
      </c>
      <c r="K246" s="237"/>
      <c r="L246" s="614">
        <f t="shared" si="10"/>
        <v>0</v>
      </c>
      <c r="M246" s="237"/>
      <c r="N246" s="614">
        <f t="shared" si="11"/>
        <v>0</v>
      </c>
    </row>
    <row r="247" spans="2:14">
      <c r="B247" s="793">
        <v>235</v>
      </c>
      <c r="C247" s="807"/>
      <c r="D247" s="808"/>
      <c r="E247" s="809"/>
      <c r="F247" s="810"/>
      <c r="G247" s="237"/>
      <c r="H247" s="601">
        <f>IF(Consolidado_Geral!$G$133=7.6%,-(0.0165+0.076)*F247,0)</f>
        <v>0</v>
      </c>
      <c r="I247" s="237"/>
      <c r="J247" s="614">
        <f t="shared" si="9"/>
        <v>0</v>
      </c>
      <c r="K247" s="237"/>
      <c r="L247" s="614">
        <f t="shared" si="10"/>
        <v>0</v>
      </c>
      <c r="M247" s="237"/>
      <c r="N247" s="614">
        <f t="shared" si="11"/>
        <v>0</v>
      </c>
    </row>
    <row r="248" spans="2:14">
      <c r="B248" s="793">
        <v>236</v>
      </c>
      <c r="C248" s="807"/>
      <c r="D248" s="808"/>
      <c r="E248" s="809"/>
      <c r="F248" s="810"/>
      <c r="G248" s="237"/>
      <c r="H248" s="601">
        <f>IF(Consolidado_Geral!$G$133=7.6%,-(0.0165+0.076)*F248,0)</f>
        <v>0</v>
      </c>
      <c r="I248" s="237"/>
      <c r="J248" s="614">
        <f t="shared" si="9"/>
        <v>0</v>
      </c>
      <c r="K248" s="237"/>
      <c r="L248" s="614">
        <f t="shared" si="10"/>
        <v>0</v>
      </c>
      <c r="M248" s="237"/>
      <c r="N248" s="614">
        <f t="shared" si="11"/>
        <v>0</v>
      </c>
    </row>
    <row r="249" spans="2:14">
      <c r="B249" s="793">
        <v>237</v>
      </c>
      <c r="C249" s="807"/>
      <c r="D249" s="808"/>
      <c r="E249" s="809"/>
      <c r="F249" s="810"/>
      <c r="G249" s="237"/>
      <c r="H249" s="601">
        <f>IF(Consolidado_Geral!$G$133=7.6%,-(0.0165+0.076)*F249,0)</f>
        <v>0</v>
      </c>
      <c r="I249" s="237"/>
      <c r="J249" s="614">
        <f t="shared" si="9"/>
        <v>0</v>
      </c>
      <c r="K249" s="237"/>
      <c r="L249" s="614">
        <f t="shared" si="10"/>
        <v>0</v>
      </c>
      <c r="M249" s="237"/>
      <c r="N249" s="614">
        <f t="shared" si="11"/>
        <v>0</v>
      </c>
    </row>
    <row r="250" spans="2:14">
      <c r="B250" s="793">
        <v>238</v>
      </c>
      <c r="C250" s="807"/>
      <c r="D250" s="808"/>
      <c r="E250" s="809"/>
      <c r="F250" s="810"/>
      <c r="G250" s="237"/>
      <c r="H250" s="601">
        <f>IF(Consolidado_Geral!$G$133=7.6%,-(0.0165+0.076)*F250,0)</f>
        <v>0</v>
      </c>
      <c r="I250" s="237"/>
      <c r="J250" s="614">
        <f t="shared" si="9"/>
        <v>0</v>
      </c>
      <c r="K250" s="237"/>
      <c r="L250" s="614">
        <f t="shared" si="10"/>
        <v>0</v>
      </c>
      <c r="M250" s="237"/>
      <c r="N250" s="614">
        <f t="shared" si="11"/>
        <v>0</v>
      </c>
    </row>
    <row r="251" spans="2:14">
      <c r="B251" s="793">
        <v>239</v>
      </c>
      <c r="C251" s="807"/>
      <c r="D251" s="808"/>
      <c r="E251" s="809"/>
      <c r="F251" s="810"/>
      <c r="G251" s="237"/>
      <c r="H251" s="601">
        <f>IF(Consolidado_Geral!$G$133=7.6%,-(0.0165+0.076)*F251,0)</f>
        <v>0</v>
      </c>
      <c r="I251" s="237"/>
      <c r="J251" s="614">
        <f t="shared" si="9"/>
        <v>0</v>
      </c>
      <c r="K251" s="237"/>
      <c r="L251" s="614">
        <f t="shared" si="10"/>
        <v>0</v>
      </c>
      <c r="M251" s="237"/>
      <c r="N251" s="614">
        <f t="shared" si="11"/>
        <v>0</v>
      </c>
    </row>
    <row r="252" spans="2:14">
      <c r="B252" s="793">
        <v>240</v>
      </c>
      <c r="C252" s="807"/>
      <c r="D252" s="808"/>
      <c r="E252" s="809"/>
      <c r="F252" s="810"/>
      <c r="G252" s="237"/>
      <c r="H252" s="601">
        <f>IF(Consolidado_Geral!$G$133=7.6%,-(0.0165+0.076)*F252,0)</f>
        <v>0</v>
      </c>
      <c r="I252" s="237"/>
      <c r="J252" s="614">
        <f t="shared" si="9"/>
        <v>0</v>
      </c>
      <c r="K252" s="237"/>
      <c r="L252" s="614">
        <f t="shared" si="10"/>
        <v>0</v>
      </c>
      <c r="M252" s="237"/>
      <c r="N252" s="614">
        <f t="shared" si="11"/>
        <v>0</v>
      </c>
    </row>
    <row r="253" spans="2:14">
      <c r="B253" s="793">
        <v>241</v>
      </c>
      <c r="C253" s="807"/>
      <c r="D253" s="808"/>
      <c r="E253" s="809"/>
      <c r="F253" s="810"/>
      <c r="G253" s="237"/>
      <c r="H253" s="601">
        <f>IF(Consolidado_Geral!$G$133=7.6%,-(0.0165+0.076)*F253,0)</f>
        <v>0</v>
      </c>
      <c r="I253" s="237"/>
      <c r="J253" s="614">
        <f t="shared" si="9"/>
        <v>0</v>
      </c>
      <c r="K253" s="237"/>
      <c r="L253" s="614">
        <f t="shared" si="10"/>
        <v>0</v>
      </c>
      <c r="M253" s="237"/>
      <c r="N253" s="614">
        <f t="shared" si="11"/>
        <v>0</v>
      </c>
    </row>
    <row r="254" spans="2:14">
      <c r="B254" s="793">
        <v>242</v>
      </c>
      <c r="C254" s="807"/>
      <c r="D254" s="808"/>
      <c r="E254" s="809"/>
      <c r="F254" s="810"/>
      <c r="G254" s="237"/>
      <c r="H254" s="601">
        <f>IF(Consolidado_Geral!$G$133=7.6%,-(0.0165+0.076)*F254,0)</f>
        <v>0</v>
      </c>
      <c r="I254" s="237"/>
      <c r="J254" s="614">
        <f t="shared" si="9"/>
        <v>0</v>
      </c>
      <c r="K254" s="237"/>
      <c r="L254" s="614">
        <f t="shared" si="10"/>
        <v>0</v>
      </c>
      <c r="M254" s="237"/>
      <c r="N254" s="614">
        <f t="shared" si="11"/>
        <v>0</v>
      </c>
    </row>
    <row r="255" spans="2:14">
      <c r="B255" s="793">
        <v>243</v>
      </c>
      <c r="C255" s="807"/>
      <c r="D255" s="808"/>
      <c r="E255" s="809"/>
      <c r="F255" s="810"/>
      <c r="G255" s="237"/>
      <c r="H255" s="601">
        <f>IF(Consolidado_Geral!$G$133=7.6%,-(0.0165+0.076)*F255,0)</f>
        <v>0</v>
      </c>
      <c r="I255" s="237"/>
      <c r="J255" s="614">
        <f t="shared" si="9"/>
        <v>0</v>
      </c>
      <c r="K255" s="237"/>
      <c r="L255" s="614">
        <f t="shared" si="10"/>
        <v>0</v>
      </c>
      <c r="M255" s="237"/>
      <c r="N255" s="614">
        <f t="shared" si="11"/>
        <v>0</v>
      </c>
    </row>
    <row r="256" spans="2:14">
      <c r="B256" s="793">
        <v>244</v>
      </c>
      <c r="C256" s="807"/>
      <c r="D256" s="808"/>
      <c r="E256" s="809"/>
      <c r="F256" s="810"/>
      <c r="G256" s="237"/>
      <c r="H256" s="601">
        <f>IF(Consolidado_Geral!$G$133=7.6%,-(0.0165+0.076)*F256,0)</f>
        <v>0</v>
      </c>
      <c r="I256" s="237"/>
      <c r="J256" s="614">
        <f t="shared" si="9"/>
        <v>0</v>
      </c>
      <c r="K256" s="237"/>
      <c r="L256" s="614">
        <f t="shared" si="10"/>
        <v>0</v>
      </c>
      <c r="M256" s="237"/>
      <c r="N256" s="614">
        <f t="shared" si="11"/>
        <v>0</v>
      </c>
    </row>
    <row r="257" spans="2:14">
      <c r="B257" s="793">
        <v>245</v>
      </c>
      <c r="C257" s="807"/>
      <c r="D257" s="808"/>
      <c r="E257" s="809"/>
      <c r="F257" s="810"/>
      <c r="G257" s="237"/>
      <c r="H257" s="601">
        <f>IF(Consolidado_Geral!$G$133=7.6%,-(0.0165+0.076)*F257,0)</f>
        <v>0</v>
      </c>
      <c r="I257" s="237"/>
      <c r="J257" s="614">
        <f t="shared" si="9"/>
        <v>0</v>
      </c>
      <c r="K257" s="237"/>
      <c r="L257" s="614">
        <f t="shared" si="10"/>
        <v>0</v>
      </c>
      <c r="M257" s="237"/>
      <c r="N257" s="614">
        <f t="shared" si="11"/>
        <v>0</v>
      </c>
    </row>
    <row r="258" spans="2:14">
      <c r="B258" s="793">
        <v>246</v>
      </c>
      <c r="C258" s="807"/>
      <c r="D258" s="808"/>
      <c r="E258" s="809"/>
      <c r="F258" s="810"/>
      <c r="G258" s="237"/>
      <c r="H258" s="601">
        <f>IF(Consolidado_Geral!$G$133=7.6%,-(0.0165+0.076)*F258,0)</f>
        <v>0</v>
      </c>
      <c r="I258" s="237"/>
      <c r="J258" s="614">
        <f t="shared" si="9"/>
        <v>0</v>
      </c>
      <c r="K258" s="237"/>
      <c r="L258" s="614">
        <f t="shared" si="10"/>
        <v>0</v>
      </c>
      <c r="M258" s="237"/>
      <c r="N258" s="614">
        <f t="shared" si="11"/>
        <v>0</v>
      </c>
    </row>
    <row r="259" spans="2:14">
      <c r="B259" s="793">
        <v>247</v>
      </c>
      <c r="C259" s="807"/>
      <c r="D259" s="808"/>
      <c r="E259" s="809"/>
      <c r="F259" s="810"/>
      <c r="G259" s="237"/>
      <c r="H259" s="601">
        <f>IF(Consolidado_Geral!$G$133=7.6%,-(0.0165+0.076)*F259,0)</f>
        <v>0</v>
      </c>
      <c r="I259" s="237"/>
      <c r="J259" s="614">
        <f t="shared" si="9"/>
        <v>0</v>
      </c>
      <c r="K259" s="237"/>
      <c r="L259" s="614">
        <f t="shared" si="10"/>
        <v>0</v>
      </c>
      <c r="M259" s="237"/>
      <c r="N259" s="614">
        <f t="shared" si="11"/>
        <v>0</v>
      </c>
    </row>
    <row r="260" spans="2:14">
      <c r="B260" s="793">
        <v>248</v>
      </c>
      <c r="C260" s="807"/>
      <c r="D260" s="808"/>
      <c r="E260" s="809"/>
      <c r="F260" s="810"/>
      <c r="G260" s="237"/>
      <c r="H260" s="601">
        <f>IF(Consolidado_Geral!$G$133=7.6%,-(0.0165+0.076)*F260,0)</f>
        <v>0</v>
      </c>
      <c r="I260" s="237"/>
      <c r="J260" s="614">
        <f t="shared" si="9"/>
        <v>0</v>
      </c>
      <c r="K260" s="237"/>
      <c r="L260" s="614">
        <f t="shared" si="10"/>
        <v>0</v>
      </c>
      <c r="M260" s="237"/>
      <c r="N260" s="614">
        <f t="shared" si="11"/>
        <v>0</v>
      </c>
    </row>
    <row r="261" spans="2:14">
      <c r="B261" s="793">
        <v>249</v>
      </c>
      <c r="C261" s="807"/>
      <c r="D261" s="808"/>
      <c r="E261" s="809"/>
      <c r="F261" s="810"/>
      <c r="G261" s="237"/>
      <c r="H261" s="601">
        <f>IF(Consolidado_Geral!$G$133=7.6%,-(0.0165+0.076)*F261,0)</f>
        <v>0</v>
      </c>
      <c r="I261" s="237"/>
      <c r="J261" s="614">
        <f t="shared" si="9"/>
        <v>0</v>
      </c>
      <c r="K261" s="237"/>
      <c r="L261" s="614">
        <f t="shared" si="10"/>
        <v>0</v>
      </c>
      <c r="M261" s="237"/>
      <c r="N261" s="614">
        <f t="shared" si="11"/>
        <v>0</v>
      </c>
    </row>
    <row r="262" spans="2:14">
      <c r="B262" s="793">
        <v>250</v>
      </c>
      <c r="C262" s="807"/>
      <c r="D262" s="808"/>
      <c r="E262" s="809"/>
      <c r="F262" s="810"/>
      <c r="G262" s="237"/>
      <c r="H262" s="601">
        <f>IF(Consolidado_Geral!$G$133=7.6%,-(0.0165+0.076)*F262,0)</f>
        <v>0</v>
      </c>
      <c r="I262" s="237"/>
      <c r="J262" s="614">
        <f t="shared" si="9"/>
        <v>0</v>
      </c>
      <c r="K262" s="237"/>
      <c r="L262" s="614">
        <f t="shared" si="10"/>
        <v>0</v>
      </c>
      <c r="M262" s="237"/>
      <c r="N262" s="614">
        <f t="shared" si="11"/>
        <v>0</v>
      </c>
    </row>
    <row r="263" spans="2:14">
      <c r="B263" s="793">
        <v>251</v>
      </c>
      <c r="C263" s="807"/>
      <c r="D263" s="808"/>
      <c r="E263" s="809"/>
      <c r="F263" s="810"/>
      <c r="G263" s="237"/>
      <c r="H263" s="601">
        <f>IF(Consolidado_Geral!$G$133=7.6%,-(0.0165+0.076)*F263,0)</f>
        <v>0</v>
      </c>
      <c r="I263" s="237"/>
      <c r="J263" s="614">
        <f t="shared" si="9"/>
        <v>0</v>
      </c>
      <c r="K263" s="237"/>
      <c r="L263" s="614">
        <f t="shared" si="10"/>
        <v>0</v>
      </c>
      <c r="M263" s="237"/>
      <c r="N263" s="614">
        <f t="shared" si="11"/>
        <v>0</v>
      </c>
    </row>
    <row r="264" spans="2:14">
      <c r="B264" s="793">
        <v>252</v>
      </c>
      <c r="C264" s="807"/>
      <c r="D264" s="808"/>
      <c r="E264" s="809"/>
      <c r="F264" s="810"/>
      <c r="G264" s="237"/>
      <c r="H264" s="601">
        <f>IF(Consolidado_Geral!$G$133=7.6%,-(0.0165+0.076)*F264,0)</f>
        <v>0</v>
      </c>
      <c r="I264" s="237"/>
      <c r="J264" s="614">
        <f t="shared" si="9"/>
        <v>0</v>
      </c>
      <c r="K264" s="237"/>
      <c r="L264" s="614">
        <f t="shared" si="10"/>
        <v>0</v>
      </c>
      <c r="M264" s="237"/>
      <c r="N264" s="614">
        <f t="shared" si="11"/>
        <v>0</v>
      </c>
    </row>
    <row r="265" spans="2:14">
      <c r="B265" s="793">
        <v>253</v>
      </c>
      <c r="C265" s="807"/>
      <c r="D265" s="808"/>
      <c r="E265" s="809"/>
      <c r="F265" s="810"/>
      <c r="G265" s="237"/>
      <c r="H265" s="601">
        <f>IF(Consolidado_Geral!$G$133=7.6%,-(0.0165+0.076)*F265,0)</f>
        <v>0</v>
      </c>
      <c r="I265" s="237"/>
      <c r="J265" s="614">
        <f t="shared" si="9"/>
        <v>0</v>
      </c>
      <c r="K265" s="237"/>
      <c r="L265" s="614">
        <f t="shared" si="10"/>
        <v>0</v>
      </c>
      <c r="M265" s="237"/>
      <c r="N265" s="614">
        <f t="shared" si="11"/>
        <v>0</v>
      </c>
    </row>
    <row r="266" spans="2:14">
      <c r="B266" s="793">
        <v>254</v>
      </c>
      <c r="C266" s="807"/>
      <c r="D266" s="808"/>
      <c r="E266" s="809"/>
      <c r="F266" s="810"/>
      <c r="G266" s="237"/>
      <c r="H266" s="601">
        <f>IF(Consolidado_Geral!$G$133=7.6%,-(0.0165+0.076)*F266,0)</f>
        <v>0</v>
      </c>
      <c r="I266" s="237"/>
      <c r="J266" s="614">
        <f t="shared" si="9"/>
        <v>0</v>
      </c>
      <c r="K266" s="237"/>
      <c r="L266" s="614">
        <f t="shared" si="10"/>
        <v>0</v>
      </c>
      <c r="M266" s="237"/>
      <c r="N266" s="614">
        <f t="shared" si="11"/>
        <v>0</v>
      </c>
    </row>
    <row r="267" spans="2:14">
      <c r="B267" s="793">
        <v>255</v>
      </c>
      <c r="C267" s="807"/>
      <c r="D267" s="808"/>
      <c r="E267" s="809"/>
      <c r="F267" s="810"/>
      <c r="G267" s="237"/>
      <c r="H267" s="601">
        <f>IF(Consolidado_Geral!$G$133=7.6%,-(0.0165+0.076)*F267,0)</f>
        <v>0</v>
      </c>
      <c r="I267" s="237"/>
      <c r="J267" s="614">
        <f t="shared" si="9"/>
        <v>0</v>
      </c>
      <c r="K267" s="237"/>
      <c r="L267" s="614">
        <f t="shared" si="10"/>
        <v>0</v>
      </c>
      <c r="M267" s="237"/>
      <c r="N267" s="614">
        <f t="shared" si="11"/>
        <v>0</v>
      </c>
    </row>
    <row r="268" spans="2:14">
      <c r="B268" s="793">
        <v>256</v>
      </c>
      <c r="C268" s="807"/>
      <c r="D268" s="808"/>
      <c r="E268" s="809"/>
      <c r="F268" s="810"/>
      <c r="G268" s="237"/>
      <c r="H268" s="601">
        <f>IF(Consolidado_Geral!$G$133=7.6%,-(0.0165+0.076)*F268,0)</f>
        <v>0</v>
      </c>
      <c r="I268" s="237"/>
      <c r="J268" s="614">
        <f t="shared" si="9"/>
        <v>0</v>
      </c>
      <c r="K268" s="237"/>
      <c r="L268" s="614">
        <f t="shared" si="10"/>
        <v>0</v>
      </c>
      <c r="M268" s="237"/>
      <c r="N268" s="614">
        <f t="shared" si="11"/>
        <v>0</v>
      </c>
    </row>
    <row r="269" spans="2:14">
      <c r="B269" s="793">
        <v>257</v>
      </c>
      <c r="C269" s="807"/>
      <c r="D269" s="808"/>
      <c r="E269" s="809"/>
      <c r="F269" s="810"/>
      <c r="G269" s="237"/>
      <c r="H269" s="601">
        <f>IF(Consolidado_Geral!$G$133=7.6%,-(0.0165+0.076)*F269,0)</f>
        <v>0</v>
      </c>
      <c r="I269" s="237"/>
      <c r="J269" s="614">
        <f t="shared" si="9"/>
        <v>0</v>
      </c>
      <c r="K269" s="237"/>
      <c r="L269" s="614">
        <f t="shared" ref="L269:L332" si="12">J269*E269</f>
        <v>0</v>
      </c>
      <c r="M269" s="237"/>
      <c r="N269" s="614">
        <f t="shared" si="11"/>
        <v>0</v>
      </c>
    </row>
    <row r="270" spans="2:14">
      <c r="B270" s="793">
        <v>258</v>
      </c>
      <c r="C270" s="807"/>
      <c r="D270" s="808"/>
      <c r="E270" s="809"/>
      <c r="F270" s="810"/>
      <c r="G270" s="237"/>
      <c r="H270" s="601">
        <f>IF(Consolidado_Geral!$G$133=7.6%,-(0.0165+0.076)*F270,0)</f>
        <v>0</v>
      </c>
      <c r="I270" s="237"/>
      <c r="J270" s="614">
        <f t="shared" si="9"/>
        <v>0</v>
      </c>
      <c r="K270" s="237"/>
      <c r="L270" s="614">
        <f t="shared" si="12"/>
        <v>0</v>
      </c>
      <c r="M270" s="237"/>
      <c r="N270" s="614">
        <f t="shared" si="11"/>
        <v>0</v>
      </c>
    </row>
    <row r="271" spans="2:14">
      <c r="B271" s="793">
        <v>259</v>
      </c>
      <c r="C271" s="807"/>
      <c r="D271" s="808"/>
      <c r="E271" s="809"/>
      <c r="F271" s="810"/>
      <c r="G271" s="237"/>
      <c r="H271" s="601">
        <f>IF(Consolidado_Geral!$G$133=7.6%,-(0.0165+0.076)*F271,0)</f>
        <v>0</v>
      </c>
      <c r="I271" s="237"/>
      <c r="J271" s="614">
        <f t="shared" si="9"/>
        <v>0</v>
      </c>
      <c r="K271" s="237"/>
      <c r="L271" s="614">
        <f t="shared" si="12"/>
        <v>0</v>
      </c>
      <c r="M271" s="237"/>
      <c r="N271" s="614">
        <f t="shared" si="11"/>
        <v>0</v>
      </c>
    </row>
    <row r="272" spans="2:14">
      <c r="B272" s="793">
        <v>260</v>
      </c>
      <c r="C272" s="807"/>
      <c r="D272" s="808"/>
      <c r="E272" s="809"/>
      <c r="F272" s="810"/>
      <c r="G272" s="237"/>
      <c r="H272" s="601">
        <f>IF(Consolidado_Geral!$G$133=7.6%,-(0.0165+0.076)*F272,0)</f>
        <v>0</v>
      </c>
      <c r="I272" s="237"/>
      <c r="J272" s="614">
        <f t="shared" si="9"/>
        <v>0</v>
      </c>
      <c r="K272" s="237"/>
      <c r="L272" s="614">
        <f t="shared" si="12"/>
        <v>0</v>
      </c>
      <c r="M272" s="237"/>
      <c r="N272" s="614">
        <f t="shared" si="11"/>
        <v>0</v>
      </c>
    </row>
    <row r="273" spans="2:14">
      <c r="B273" s="793">
        <v>261</v>
      </c>
      <c r="C273" s="807"/>
      <c r="D273" s="808"/>
      <c r="E273" s="809"/>
      <c r="F273" s="810"/>
      <c r="G273" s="237"/>
      <c r="H273" s="601">
        <f>IF(Consolidado_Geral!$G$133=7.6%,-(0.0165+0.076)*F273,0)</f>
        <v>0</v>
      </c>
      <c r="I273" s="237"/>
      <c r="J273" s="614">
        <f t="shared" si="9"/>
        <v>0</v>
      </c>
      <c r="K273" s="237"/>
      <c r="L273" s="614">
        <f t="shared" si="12"/>
        <v>0</v>
      </c>
      <c r="M273" s="237"/>
      <c r="N273" s="614">
        <f t="shared" si="11"/>
        <v>0</v>
      </c>
    </row>
    <row r="274" spans="2:14">
      <c r="B274" s="793">
        <v>262</v>
      </c>
      <c r="C274" s="807"/>
      <c r="D274" s="808"/>
      <c r="E274" s="809"/>
      <c r="F274" s="810"/>
      <c r="G274" s="237"/>
      <c r="H274" s="601">
        <f>IF(Consolidado_Geral!$G$133=7.6%,-(0.0165+0.076)*F274,0)</f>
        <v>0</v>
      </c>
      <c r="I274" s="237"/>
      <c r="J274" s="614">
        <f t="shared" si="9"/>
        <v>0</v>
      </c>
      <c r="K274" s="237"/>
      <c r="L274" s="614">
        <f t="shared" si="12"/>
        <v>0</v>
      </c>
      <c r="M274" s="237"/>
      <c r="N274" s="614">
        <f t="shared" si="11"/>
        <v>0</v>
      </c>
    </row>
    <row r="275" spans="2:14">
      <c r="B275" s="793">
        <v>263</v>
      </c>
      <c r="C275" s="807"/>
      <c r="D275" s="808"/>
      <c r="E275" s="809"/>
      <c r="F275" s="810"/>
      <c r="G275" s="237"/>
      <c r="H275" s="601">
        <f>IF(Consolidado_Geral!$G$133=7.6%,-(0.0165+0.076)*F275,0)</f>
        <v>0</v>
      </c>
      <c r="I275" s="237"/>
      <c r="J275" s="614">
        <f t="shared" si="9"/>
        <v>0</v>
      </c>
      <c r="K275" s="237"/>
      <c r="L275" s="614">
        <f t="shared" si="12"/>
        <v>0</v>
      </c>
      <c r="M275" s="237"/>
      <c r="N275" s="614">
        <f t="shared" si="11"/>
        <v>0</v>
      </c>
    </row>
    <row r="276" spans="2:14">
      <c r="B276" s="793">
        <v>264</v>
      </c>
      <c r="C276" s="807"/>
      <c r="D276" s="808"/>
      <c r="E276" s="809"/>
      <c r="F276" s="810"/>
      <c r="G276" s="237"/>
      <c r="H276" s="601">
        <f>IF(Consolidado_Geral!$G$133=7.6%,-(0.0165+0.076)*F276,0)</f>
        <v>0</v>
      </c>
      <c r="I276" s="237"/>
      <c r="J276" s="614">
        <f t="shared" si="9"/>
        <v>0</v>
      </c>
      <c r="K276" s="237"/>
      <c r="L276" s="614">
        <f t="shared" si="12"/>
        <v>0</v>
      </c>
      <c r="M276" s="237"/>
      <c r="N276" s="614">
        <f t="shared" si="11"/>
        <v>0</v>
      </c>
    </row>
    <row r="277" spans="2:14">
      <c r="B277" s="793">
        <v>265</v>
      </c>
      <c r="C277" s="807"/>
      <c r="D277" s="808"/>
      <c r="E277" s="809"/>
      <c r="F277" s="810"/>
      <c r="G277" s="237"/>
      <c r="H277" s="601">
        <f>IF(Consolidado_Geral!$G$133=7.6%,-(0.0165+0.076)*F277,0)</f>
        <v>0</v>
      </c>
      <c r="I277" s="237"/>
      <c r="J277" s="614">
        <f t="shared" si="9"/>
        <v>0</v>
      </c>
      <c r="K277" s="237"/>
      <c r="L277" s="614">
        <f t="shared" si="12"/>
        <v>0</v>
      </c>
      <c r="M277" s="237"/>
      <c r="N277" s="614">
        <f t="shared" si="11"/>
        <v>0</v>
      </c>
    </row>
    <row r="278" spans="2:14">
      <c r="B278" s="793">
        <v>266</v>
      </c>
      <c r="C278" s="807"/>
      <c r="D278" s="808"/>
      <c r="E278" s="809"/>
      <c r="F278" s="810"/>
      <c r="G278" s="237"/>
      <c r="H278" s="601">
        <f>IF(Consolidado_Geral!$G$133=7.6%,-(0.0165+0.076)*F278,0)</f>
        <v>0</v>
      </c>
      <c r="I278" s="237"/>
      <c r="J278" s="614">
        <f t="shared" si="9"/>
        <v>0</v>
      </c>
      <c r="K278" s="237"/>
      <c r="L278" s="614">
        <f t="shared" si="12"/>
        <v>0</v>
      </c>
      <c r="M278" s="237"/>
      <c r="N278" s="614">
        <f t="shared" si="11"/>
        <v>0</v>
      </c>
    </row>
    <row r="279" spans="2:14">
      <c r="B279" s="793">
        <v>267</v>
      </c>
      <c r="C279" s="807"/>
      <c r="D279" s="808"/>
      <c r="E279" s="809"/>
      <c r="F279" s="810"/>
      <c r="G279" s="237"/>
      <c r="H279" s="601">
        <f>IF(Consolidado_Geral!$G$133=7.6%,-(0.0165+0.076)*F279,0)</f>
        <v>0</v>
      </c>
      <c r="I279" s="237"/>
      <c r="J279" s="614">
        <f t="shared" si="9"/>
        <v>0</v>
      </c>
      <c r="K279" s="237"/>
      <c r="L279" s="614">
        <f t="shared" si="12"/>
        <v>0</v>
      </c>
      <c r="M279" s="237"/>
      <c r="N279" s="614">
        <f t="shared" si="11"/>
        <v>0</v>
      </c>
    </row>
    <row r="280" spans="2:14">
      <c r="B280" s="793">
        <v>268</v>
      </c>
      <c r="C280" s="807"/>
      <c r="D280" s="808"/>
      <c r="E280" s="809"/>
      <c r="F280" s="810"/>
      <c r="G280" s="237"/>
      <c r="H280" s="601">
        <f>IF(Consolidado_Geral!$G$133=7.6%,-(0.0165+0.076)*F280,0)</f>
        <v>0</v>
      </c>
      <c r="I280" s="237"/>
      <c r="J280" s="614">
        <f t="shared" si="9"/>
        <v>0</v>
      </c>
      <c r="K280" s="237"/>
      <c r="L280" s="614">
        <f t="shared" si="12"/>
        <v>0</v>
      </c>
      <c r="M280" s="237"/>
      <c r="N280" s="614">
        <f t="shared" si="11"/>
        <v>0</v>
      </c>
    </row>
    <row r="281" spans="2:14">
      <c r="B281" s="793">
        <v>269</v>
      </c>
      <c r="C281" s="807"/>
      <c r="D281" s="808"/>
      <c r="E281" s="809"/>
      <c r="F281" s="810"/>
      <c r="G281" s="237"/>
      <c r="H281" s="601">
        <f>IF(Consolidado_Geral!$G$133=7.6%,-(0.0165+0.076)*F281,0)</f>
        <v>0</v>
      </c>
      <c r="I281" s="237"/>
      <c r="J281" s="614">
        <f t="shared" si="9"/>
        <v>0</v>
      </c>
      <c r="K281" s="237"/>
      <c r="L281" s="614">
        <f t="shared" si="12"/>
        <v>0</v>
      </c>
      <c r="M281" s="237"/>
      <c r="N281" s="614">
        <f t="shared" si="11"/>
        <v>0</v>
      </c>
    </row>
    <row r="282" spans="2:14">
      <c r="B282" s="793">
        <v>270</v>
      </c>
      <c r="C282" s="807"/>
      <c r="D282" s="808"/>
      <c r="E282" s="809"/>
      <c r="F282" s="810"/>
      <c r="G282" s="237"/>
      <c r="H282" s="601">
        <f>IF(Consolidado_Geral!$G$133=7.6%,-(0.0165+0.076)*F282,0)</f>
        <v>0</v>
      </c>
      <c r="I282" s="237"/>
      <c r="J282" s="614">
        <f t="shared" si="9"/>
        <v>0</v>
      </c>
      <c r="K282" s="237"/>
      <c r="L282" s="614">
        <f t="shared" si="12"/>
        <v>0</v>
      </c>
      <c r="M282" s="237"/>
      <c r="N282" s="614">
        <f t="shared" si="11"/>
        <v>0</v>
      </c>
    </row>
    <row r="283" spans="2:14">
      <c r="B283" s="793">
        <v>271</v>
      </c>
      <c r="C283" s="807"/>
      <c r="D283" s="808"/>
      <c r="E283" s="809"/>
      <c r="F283" s="810"/>
      <c r="G283" s="237"/>
      <c r="H283" s="601">
        <f>IF(Consolidado_Geral!$G$133=7.6%,-(0.0165+0.076)*F283,0)</f>
        <v>0</v>
      </c>
      <c r="I283" s="237"/>
      <c r="J283" s="614">
        <f t="shared" si="9"/>
        <v>0</v>
      </c>
      <c r="K283" s="237"/>
      <c r="L283" s="614">
        <f t="shared" si="12"/>
        <v>0</v>
      </c>
      <c r="M283" s="237"/>
      <c r="N283" s="614">
        <f t="shared" si="11"/>
        <v>0</v>
      </c>
    </row>
    <row r="284" spans="2:14">
      <c r="B284" s="793">
        <v>272</v>
      </c>
      <c r="C284" s="807"/>
      <c r="D284" s="808"/>
      <c r="E284" s="809"/>
      <c r="F284" s="810"/>
      <c r="G284" s="237"/>
      <c r="H284" s="601">
        <f>IF(Consolidado_Geral!$G$133=7.6%,-(0.0165+0.076)*F284,0)</f>
        <v>0</v>
      </c>
      <c r="I284" s="237"/>
      <c r="J284" s="614">
        <f t="shared" si="9"/>
        <v>0</v>
      </c>
      <c r="K284" s="237"/>
      <c r="L284" s="614">
        <f t="shared" si="12"/>
        <v>0</v>
      </c>
      <c r="M284" s="237"/>
      <c r="N284" s="614">
        <f t="shared" si="11"/>
        <v>0</v>
      </c>
    </row>
    <row r="285" spans="2:14">
      <c r="B285" s="793">
        <v>273</v>
      </c>
      <c r="C285" s="807"/>
      <c r="D285" s="808"/>
      <c r="E285" s="809"/>
      <c r="F285" s="810"/>
      <c r="G285" s="237"/>
      <c r="H285" s="601">
        <f>IF(Consolidado_Geral!$G$133=7.6%,-(0.0165+0.076)*F285,0)</f>
        <v>0</v>
      </c>
      <c r="I285" s="237"/>
      <c r="J285" s="614">
        <f t="shared" si="9"/>
        <v>0</v>
      </c>
      <c r="K285" s="237"/>
      <c r="L285" s="614">
        <f t="shared" si="12"/>
        <v>0</v>
      </c>
      <c r="M285" s="237"/>
      <c r="N285" s="614">
        <f t="shared" si="11"/>
        <v>0</v>
      </c>
    </row>
    <row r="286" spans="2:14">
      <c r="B286" s="793">
        <v>274</v>
      </c>
      <c r="C286" s="807"/>
      <c r="D286" s="808"/>
      <c r="E286" s="809"/>
      <c r="F286" s="810"/>
      <c r="G286" s="237"/>
      <c r="H286" s="601">
        <f>IF(Consolidado_Geral!$G$133=7.6%,-(0.0165+0.076)*F286,0)</f>
        <v>0</v>
      </c>
      <c r="I286" s="237"/>
      <c r="J286" s="614">
        <f t="shared" si="9"/>
        <v>0</v>
      </c>
      <c r="K286" s="237"/>
      <c r="L286" s="614">
        <f t="shared" si="12"/>
        <v>0</v>
      </c>
      <c r="M286" s="237"/>
      <c r="N286" s="614">
        <f t="shared" si="11"/>
        <v>0</v>
      </c>
    </row>
    <row r="287" spans="2:14">
      <c r="B287" s="793">
        <v>275</v>
      </c>
      <c r="C287" s="807"/>
      <c r="D287" s="808"/>
      <c r="E287" s="809"/>
      <c r="F287" s="810"/>
      <c r="G287" s="237"/>
      <c r="H287" s="601">
        <f>IF(Consolidado_Geral!$G$133=7.6%,-(0.0165+0.076)*F287,0)</f>
        <v>0</v>
      </c>
      <c r="I287" s="237"/>
      <c r="J287" s="614">
        <f t="shared" si="9"/>
        <v>0</v>
      </c>
      <c r="K287" s="237"/>
      <c r="L287" s="614">
        <f t="shared" si="12"/>
        <v>0</v>
      </c>
      <c r="M287" s="237"/>
      <c r="N287" s="614">
        <f t="shared" si="11"/>
        <v>0</v>
      </c>
    </row>
    <row r="288" spans="2:14">
      <c r="B288" s="793">
        <v>276</v>
      </c>
      <c r="C288" s="807"/>
      <c r="D288" s="808"/>
      <c r="E288" s="809"/>
      <c r="F288" s="810"/>
      <c r="G288" s="237"/>
      <c r="H288" s="601">
        <f>IF(Consolidado_Geral!$G$133=7.6%,-(0.0165+0.076)*F288,0)</f>
        <v>0</v>
      </c>
      <c r="I288" s="237"/>
      <c r="J288" s="614">
        <f t="shared" si="9"/>
        <v>0</v>
      </c>
      <c r="K288" s="237"/>
      <c r="L288" s="614">
        <f t="shared" si="12"/>
        <v>0</v>
      </c>
      <c r="M288" s="237"/>
      <c r="N288" s="614">
        <f t="shared" si="11"/>
        <v>0</v>
      </c>
    </row>
    <row r="289" spans="2:14">
      <c r="B289" s="793">
        <v>277</v>
      </c>
      <c r="C289" s="807"/>
      <c r="D289" s="808"/>
      <c r="E289" s="809"/>
      <c r="F289" s="810"/>
      <c r="G289" s="237"/>
      <c r="H289" s="601">
        <f>IF(Consolidado_Geral!$G$133=7.6%,-(0.0165+0.076)*F289,0)</f>
        <v>0</v>
      </c>
      <c r="I289" s="237"/>
      <c r="J289" s="614">
        <f t="shared" si="9"/>
        <v>0</v>
      </c>
      <c r="K289" s="237"/>
      <c r="L289" s="614">
        <f t="shared" si="12"/>
        <v>0</v>
      </c>
      <c r="M289" s="237"/>
      <c r="N289" s="614">
        <f t="shared" si="11"/>
        <v>0</v>
      </c>
    </row>
    <row r="290" spans="2:14">
      <c r="B290" s="793">
        <v>278</v>
      </c>
      <c r="C290" s="807"/>
      <c r="D290" s="808"/>
      <c r="E290" s="809"/>
      <c r="F290" s="810"/>
      <c r="G290" s="237"/>
      <c r="H290" s="601">
        <f>IF(Consolidado_Geral!$G$133=7.6%,-(0.0165+0.076)*F290,0)</f>
        <v>0</v>
      </c>
      <c r="I290" s="237"/>
      <c r="J290" s="614">
        <f t="shared" si="9"/>
        <v>0</v>
      </c>
      <c r="K290" s="237"/>
      <c r="L290" s="614">
        <f t="shared" si="12"/>
        <v>0</v>
      </c>
      <c r="M290" s="237"/>
      <c r="N290" s="614">
        <f t="shared" si="11"/>
        <v>0</v>
      </c>
    </row>
    <row r="291" spans="2:14">
      <c r="B291" s="793">
        <v>279</v>
      </c>
      <c r="C291" s="807"/>
      <c r="D291" s="808"/>
      <c r="E291" s="809"/>
      <c r="F291" s="810"/>
      <c r="G291" s="237"/>
      <c r="H291" s="601">
        <f>IF(Consolidado_Geral!$G$133=7.6%,-(0.0165+0.076)*F291,0)</f>
        <v>0</v>
      </c>
      <c r="I291" s="237"/>
      <c r="J291" s="614">
        <f t="shared" si="9"/>
        <v>0</v>
      </c>
      <c r="K291" s="237"/>
      <c r="L291" s="614">
        <f t="shared" si="12"/>
        <v>0</v>
      </c>
      <c r="M291" s="237"/>
      <c r="N291" s="614">
        <f t="shared" si="11"/>
        <v>0</v>
      </c>
    </row>
    <row r="292" spans="2:14">
      <c r="B292" s="793">
        <v>280</v>
      </c>
      <c r="C292" s="807"/>
      <c r="D292" s="808"/>
      <c r="E292" s="809"/>
      <c r="F292" s="810"/>
      <c r="G292" s="237"/>
      <c r="H292" s="601">
        <f>IF(Consolidado_Geral!$G$133=7.6%,-(0.0165+0.076)*F292,0)</f>
        <v>0</v>
      </c>
      <c r="I292" s="237"/>
      <c r="J292" s="614">
        <f t="shared" si="9"/>
        <v>0</v>
      </c>
      <c r="K292" s="237"/>
      <c r="L292" s="614">
        <f t="shared" si="12"/>
        <v>0</v>
      </c>
      <c r="M292" s="237"/>
      <c r="N292" s="614">
        <f t="shared" si="11"/>
        <v>0</v>
      </c>
    </row>
    <row r="293" spans="2:14">
      <c r="B293" s="793">
        <v>281</v>
      </c>
      <c r="C293" s="807"/>
      <c r="D293" s="808"/>
      <c r="E293" s="809"/>
      <c r="F293" s="810"/>
      <c r="G293" s="237"/>
      <c r="H293" s="601">
        <f>IF(Consolidado_Geral!$G$133=7.6%,-(0.0165+0.076)*F293,0)</f>
        <v>0</v>
      </c>
      <c r="I293" s="237"/>
      <c r="J293" s="614">
        <f t="shared" si="9"/>
        <v>0</v>
      </c>
      <c r="K293" s="237"/>
      <c r="L293" s="614">
        <f t="shared" si="12"/>
        <v>0</v>
      </c>
      <c r="M293" s="237"/>
      <c r="N293" s="614">
        <f t="shared" si="11"/>
        <v>0</v>
      </c>
    </row>
    <row r="294" spans="2:14">
      <c r="B294" s="793">
        <v>282</v>
      </c>
      <c r="C294" s="807"/>
      <c r="D294" s="808"/>
      <c r="E294" s="809"/>
      <c r="F294" s="810"/>
      <c r="G294" s="237"/>
      <c r="H294" s="601">
        <f>IF(Consolidado_Geral!$G$133=7.6%,-(0.0165+0.076)*F294,0)</f>
        <v>0</v>
      </c>
      <c r="I294" s="237"/>
      <c r="J294" s="614">
        <f t="shared" si="9"/>
        <v>0</v>
      </c>
      <c r="K294" s="237"/>
      <c r="L294" s="614">
        <f t="shared" si="12"/>
        <v>0</v>
      </c>
      <c r="M294" s="237"/>
      <c r="N294" s="614">
        <f t="shared" si="11"/>
        <v>0</v>
      </c>
    </row>
    <row r="295" spans="2:14">
      <c r="B295" s="793">
        <v>283</v>
      </c>
      <c r="C295" s="807"/>
      <c r="D295" s="808"/>
      <c r="E295" s="809"/>
      <c r="F295" s="810"/>
      <c r="G295" s="237"/>
      <c r="H295" s="601">
        <f>IF(Consolidado_Geral!$G$133=7.6%,-(0.0165+0.076)*F295,0)</f>
        <v>0</v>
      </c>
      <c r="I295" s="237"/>
      <c r="J295" s="614">
        <f t="shared" si="9"/>
        <v>0</v>
      </c>
      <c r="K295" s="237"/>
      <c r="L295" s="614">
        <f t="shared" si="12"/>
        <v>0</v>
      </c>
      <c r="M295" s="237"/>
      <c r="N295" s="614">
        <f t="shared" si="11"/>
        <v>0</v>
      </c>
    </row>
    <row r="296" spans="2:14">
      <c r="B296" s="793">
        <v>284</v>
      </c>
      <c r="C296" s="807"/>
      <c r="D296" s="808"/>
      <c r="E296" s="809"/>
      <c r="F296" s="810"/>
      <c r="G296" s="237"/>
      <c r="H296" s="601">
        <f>IF(Consolidado_Geral!$G$133=7.6%,-(0.0165+0.076)*F296,0)</f>
        <v>0</v>
      </c>
      <c r="I296" s="237"/>
      <c r="J296" s="614">
        <f t="shared" si="9"/>
        <v>0</v>
      </c>
      <c r="K296" s="237"/>
      <c r="L296" s="614">
        <f t="shared" si="12"/>
        <v>0</v>
      </c>
      <c r="M296" s="237"/>
      <c r="N296" s="614">
        <f t="shared" si="11"/>
        <v>0</v>
      </c>
    </row>
    <row r="297" spans="2:14">
      <c r="B297" s="793">
        <v>285</v>
      </c>
      <c r="C297" s="807"/>
      <c r="D297" s="808"/>
      <c r="E297" s="809"/>
      <c r="F297" s="810"/>
      <c r="G297" s="237"/>
      <c r="H297" s="601">
        <f>IF(Consolidado_Geral!$G$133=7.6%,-(0.0165+0.076)*F297,0)</f>
        <v>0</v>
      </c>
      <c r="I297" s="237"/>
      <c r="J297" s="614">
        <f t="shared" si="9"/>
        <v>0</v>
      </c>
      <c r="K297" s="237"/>
      <c r="L297" s="614">
        <f t="shared" si="12"/>
        <v>0</v>
      </c>
      <c r="M297" s="237"/>
      <c r="N297" s="614">
        <f t="shared" si="11"/>
        <v>0</v>
      </c>
    </row>
    <row r="298" spans="2:14">
      <c r="B298" s="793">
        <v>286</v>
      </c>
      <c r="C298" s="807"/>
      <c r="D298" s="808"/>
      <c r="E298" s="809"/>
      <c r="F298" s="810"/>
      <c r="G298" s="237"/>
      <c r="H298" s="601">
        <f>IF(Consolidado_Geral!$G$133=7.6%,-(0.0165+0.076)*F298,0)</f>
        <v>0</v>
      </c>
      <c r="I298" s="237"/>
      <c r="J298" s="614">
        <f t="shared" si="9"/>
        <v>0</v>
      </c>
      <c r="K298" s="237"/>
      <c r="L298" s="614">
        <f t="shared" si="12"/>
        <v>0</v>
      </c>
      <c r="M298" s="237"/>
      <c r="N298" s="614">
        <f t="shared" si="11"/>
        <v>0</v>
      </c>
    </row>
    <row r="299" spans="2:14">
      <c r="B299" s="793">
        <v>287</v>
      </c>
      <c r="C299" s="807"/>
      <c r="D299" s="808"/>
      <c r="E299" s="809"/>
      <c r="F299" s="810"/>
      <c r="G299" s="237"/>
      <c r="H299" s="601">
        <f>IF(Consolidado_Geral!$G$133=7.6%,-(0.0165+0.076)*F299,0)</f>
        <v>0</v>
      </c>
      <c r="I299" s="237"/>
      <c r="J299" s="614">
        <f t="shared" si="9"/>
        <v>0</v>
      </c>
      <c r="K299" s="237"/>
      <c r="L299" s="614">
        <f t="shared" si="12"/>
        <v>0</v>
      </c>
      <c r="M299" s="237"/>
      <c r="N299" s="614">
        <f t="shared" si="11"/>
        <v>0</v>
      </c>
    </row>
    <row r="300" spans="2:14">
      <c r="B300" s="793">
        <v>288</v>
      </c>
      <c r="C300" s="807"/>
      <c r="D300" s="808"/>
      <c r="E300" s="809"/>
      <c r="F300" s="810"/>
      <c r="G300" s="237"/>
      <c r="H300" s="601">
        <f>IF(Consolidado_Geral!$G$133=7.6%,-(0.0165+0.076)*F300,0)</f>
        <v>0</v>
      </c>
      <c r="I300" s="237"/>
      <c r="J300" s="614">
        <f t="shared" si="9"/>
        <v>0</v>
      </c>
      <c r="K300" s="237"/>
      <c r="L300" s="614">
        <f t="shared" si="12"/>
        <v>0</v>
      </c>
      <c r="M300" s="237"/>
      <c r="N300" s="614">
        <f t="shared" si="11"/>
        <v>0</v>
      </c>
    </row>
    <row r="301" spans="2:14">
      <c r="B301" s="793">
        <v>289</v>
      </c>
      <c r="C301" s="807"/>
      <c r="D301" s="808"/>
      <c r="E301" s="809"/>
      <c r="F301" s="810"/>
      <c r="G301" s="237"/>
      <c r="H301" s="601">
        <f>IF(Consolidado_Geral!$G$133=7.6%,-(0.0165+0.076)*F301,0)</f>
        <v>0</v>
      </c>
      <c r="I301" s="237"/>
      <c r="J301" s="614">
        <f t="shared" si="9"/>
        <v>0</v>
      </c>
      <c r="K301" s="237"/>
      <c r="L301" s="614">
        <f t="shared" si="12"/>
        <v>0</v>
      </c>
      <c r="M301" s="237"/>
      <c r="N301" s="614">
        <f t="shared" si="11"/>
        <v>0</v>
      </c>
    </row>
    <row r="302" spans="2:14">
      <c r="B302" s="793">
        <v>290</v>
      </c>
      <c r="C302" s="807"/>
      <c r="D302" s="808"/>
      <c r="E302" s="809"/>
      <c r="F302" s="810"/>
      <c r="G302" s="237"/>
      <c r="H302" s="601">
        <f>IF(Consolidado_Geral!$G$133=7.6%,-(0.0165+0.076)*F302,0)</f>
        <v>0</v>
      </c>
      <c r="I302" s="237"/>
      <c r="J302" s="614">
        <f t="shared" si="9"/>
        <v>0</v>
      </c>
      <c r="K302" s="237"/>
      <c r="L302" s="614">
        <f t="shared" si="12"/>
        <v>0</v>
      </c>
      <c r="M302" s="237"/>
      <c r="N302" s="614">
        <f t="shared" si="11"/>
        <v>0</v>
      </c>
    </row>
    <row r="303" spans="2:14">
      <c r="B303" s="793">
        <v>291</v>
      </c>
      <c r="C303" s="807"/>
      <c r="D303" s="808"/>
      <c r="E303" s="809"/>
      <c r="F303" s="810"/>
      <c r="G303" s="237"/>
      <c r="H303" s="601">
        <f>IF(Consolidado_Geral!$G$133=7.6%,-(0.0165+0.076)*F303,0)</f>
        <v>0</v>
      </c>
      <c r="I303" s="237"/>
      <c r="J303" s="614">
        <f t="shared" si="9"/>
        <v>0</v>
      </c>
      <c r="K303" s="237"/>
      <c r="L303" s="614">
        <f t="shared" si="12"/>
        <v>0</v>
      </c>
      <c r="M303" s="237"/>
      <c r="N303" s="614">
        <f t="shared" si="11"/>
        <v>0</v>
      </c>
    </row>
    <row r="304" spans="2:14">
      <c r="B304" s="793">
        <v>292</v>
      </c>
      <c r="C304" s="807"/>
      <c r="D304" s="808"/>
      <c r="E304" s="809"/>
      <c r="F304" s="810"/>
      <c r="G304" s="237"/>
      <c r="H304" s="601">
        <f>IF(Consolidado_Geral!$G$133=7.6%,-(0.0165+0.076)*F304,0)</f>
        <v>0</v>
      </c>
      <c r="I304" s="237"/>
      <c r="J304" s="614">
        <f t="shared" si="9"/>
        <v>0</v>
      </c>
      <c r="K304" s="237"/>
      <c r="L304" s="614">
        <f t="shared" si="12"/>
        <v>0</v>
      </c>
      <c r="M304" s="237"/>
      <c r="N304" s="614">
        <f t="shared" si="11"/>
        <v>0</v>
      </c>
    </row>
    <row r="305" spans="2:14">
      <c r="B305" s="793">
        <v>293</v>
      </c>
      <c r="C305" s="807"/>
      <c r="D305" s="808"/>
      <c r="E305" s="809"/>
      <c r="F305" s="810"/>
      <c r="G305" s="237"/>
      <c r="H305" s="601">
        <f>IF(Consolidado_Geral!$G$133=7.6%,-(0.0165+0.076)*F305,0)</f>
        <v>0</v>
      </c>
      <c r="I305" s="237"/>
      <c r="J305" s="614">
        <f t="shared" si="9"/>
        <v>0</v>
      </c>
      <c r="K305" s="237"/>
      <c r="L305" s="614">
        <f t="shared" si="12"/>
        <v>0</v>
      </c>
      <c r="M305" s="237"/>
      <c r="N305" s="614">
        <f t="shared" si="11"/>
        <v>0</v>
      </c>
    </row>
    <row r="306" spans="2:14">
      <c r="B306" s="793">
        <v>294</v>
      </c>
      <c r="C306" s="807"/>
      <c r="D306" s="808"/>
      <c r="E306" s="809"/>
      <c r="F306" s="810"/>
      <c r="G306" s="237"/>
      <c r="H306" s="601">
        <f>IF(Consolidado_Geral!$G$133=7.6%,-(0.0165+0.076)*F306,0)</f>
        <v>0</v>
      </c>
      <c r="I306" s="237"/>
      <c r="J306" s="614">
        <f t="shared" si="9"/>
        <v>0</v>
      </c>
      <c r="K306" s="237"/>
      <c r="L306" s="614">
        <f t="shared" si="12"/>
        <v>0</v>
      </c>
      <c r="M306" s="237"/>
      <c r="N306" s="614">
        <f t="shared" si="11"/>
        <v>0</v>
      </c>
    </row>
    <row r="307" spans="2:14">
      <c r="B307" s="793">
        <v>295</v>
      </c>
      <c r="C307" s="807"/>
      <c r="D307" s="808"/>
      <c r="E307" s="809"/>
      <c r="F307" s="810"/>
      <c r="G307" s="237"/>
      <c r="H307" s="601">
        <f>IF(Consolidado_Geral!$G$133=7.6%,-(0.0165+0.076)*F307,0)</f>
        <v>0</v>
      </c>
      <c r="I307" s="237"/>
      <c r="J307" s="614">
        <f t="shared" ref="J307:J612" si="13">F307+H307</f>
        <v>0</v>
      </c>
      <c r="K307" s="237"/>
      <c r="L307" s="614">
        <f t="shared" si="12"/>
        <v>0</v>
      </c>
      <c r="M307" s="237"/>
      <c r="N307" s="614">
        <f t="shared" ref="N307:N612" si="14">L307*12</f>
        <v>0</v>
      </c>
    </row>
    <row r="308" spans="2:14">
      <c r="B308" s="793">
        <v>296</v>
      </c>
      <c r="C308" s="807"/>
      <c r="D308" s="808"/>
      <c r="E308" s="809"/>
      <c r="F308" s="810"/>
      <c r="G308" s="237"/>
      <c r="H308" s="601">
        <f>IF(Consolidado_Geral!$G$133=7.6%,-(0.0165+0.076)*F308,0)</f>
        <v>0</v>
      </c>
      <c r="I308" s="237"/>
      <c r="J308" s="614">
        <f t="shared" si="13"/>
        <v>0</v>
      </c>
      <c r="K308" s="237"/>
      <c r="L308" s="614">
        <f t="shared" si="12"/>
        <v>0</v>
      </c>
      <c r="M308" s="237"/>
      <c r="N308" s="614">
        <f t="shared" si="14"/>
        <v>0</v>
      </c>
    </row>
    <row r="309" spans="2:14">
      <c r="B309" s="793">
        <v>297</v>
      </c>
      <c r="C309" s="807"/>
      <c r="D309" s="808"/>
      <c r="E309" s="809"/>
      <c r="F309" s="810"/>
      <c r="G309" s="237"/>
      <c r="H309" s="601">
        <f>IF(Consolidado_Geral!$G$133=7.6%,-(0.0165+0.076)*F309,0)</f>
        <v>0</v>
      </c>
      <c r="I309" s="237"/>
      <c r="J309" s="614">
        <f t="shared" si="13"/>
        <v>0</v>
      </c>
      <c r="K309" s="237"/>
      <c r="L309" s="614">
        <f t="shared" si="12"/>
        <v>0</v>
      </c>
      <c r="M309" s="237"/>
      <c r="N309" s="614">
        <f t="shared" si="14"/>
        <v>0</v>
      </c>
    </row>
    <row r="310" spans="2:14">
      <c r="B310" s="793">
        <v>298</v>
      </c>
      <c r="C310" s="807"/>
      <c r="D310" s="808"/>
      <c r="E310" s="809"/>
      <c r="F310" s="810"/>
      <c r="G310" s="237"/>
      <c r="H310" s="601">
        <f>IF(Consolidado_Geral!$G$133=7.6%,-(0.0165+0.076)*F310,0)</f>
        <v>0</v>
      </c>
      <c r="I310" s="237"/>
      <c r="J310" s="614">
        <f t="shared" si="13"/>
        <v>0</v>
      </c>
      <c r="K310" s="237"/>
      <c r="L310" s="614">
        <f t="shared" si="12"/>
        <v>0</v>
      </c>
      <c r="M310" s="237"/>
      <c r="N310" s="614">
        <f t="shared" si="14"/>
        <v>0</v>
      </c>
    </row>
    <row r="311" spans="2:14">
      <c r="B311" s="793">
        <v>299</v>
      </c>
      <c r="C311" s="807"/>
      <c r="D311" s="808"/>
      <c r="E311" s="809"/>
      <c r="F311" s="810"/>
      <c r="G311" s="237"/>
      <c r="H311" s="601">
        <f>IF(Consolidado_Geral!$G$133=7.6%,-(0.0165+0.076)*F311,0)</f>
        <v>0</v>
      </c>
      <c r="I311" s="237"/>
      <c r="J311" s="614">
        <f t="shared" si="13"/>
        <v>0</v>
      </c>
      <c r="K311" s="237"/>
      <c r="L311" s="614">
        <f t="shared" si="12"/>
        <v>0</v>
      </c>
      <c r="M311" s="237"/>
      <c r="N311" s="614">
        <f t="shared" si="14"/>
        <v>0</v>
      </c>
    </row>
    <row r="312" spans="2:14">
      <c r="B312" s="793">
        <v>300</v>
      </c>
      <c r="C312" s="807"/>
      <c r="D312" s="808"/>
      <c r="E312" s="809"/>
      <c r="F312" s="810"/>
      <c r="G312" s="237"/>
      <c r="H312" s="601">
        <f>IF(Consolidado_Geral!$G$133=7.6%,-(0.0165+0.076)*F312,0)</f>
        <v>0</v>
      </c>
      <c r="I312" s="237"/>
      <c r="J312" s="614">
        <f t="shared" si="13"/>
        <v>0</v>
      </c>
      <c r="K312" s="237"/>
      <c r="L312" s="614">
        <f t="shared" si="12"/>
        <v>0</v>
      </c>
      <c r="M312" s="237"/>
      <c r="N312" s="614">
        <f t="shared" si="14"/>
        <v>0</v>
      </c>
    </row>
    <row r="313" spans="2:14">
      <c r="B313" s="793">
        <v>301</v>
      </c>
      <c r="C313" s="807"/>
      <c r="D313" s="808"/>
      <c r="E313" s="809"/>
      <c r="F313" s="810"/>
      <c r="G313" s="237"/>
      <c r="H313" s="601">
        <f>IF(Consolidado_Geral!$G$133=7.6%,-(0.0165+0.076)*F313,0)</f>
        <v>0</v>
      </c>
      <c r="I313" s="237"/>
      <c r="J313" s="614">
        <f t="shared" si="13"/>
        <v>0</v>
      </c>
      <c r="K313" s="237"/>
      <c r="L313" s="614">
        <f t="shared" si="12"/>
        <v>0</v>
      </c>
      <c r="M313" s="237"/>
      <c r="N313" s="614">
        <f t="shared" si="14"/>
        <v>0</v>
      </c>
    </row>
    <row r="314" spans="2:14">
      <c r="B314" s="793">
        <v>302</v>
      </c>
      <c r="C314" s="807"/>
      <c r="D314" s="808"/>
      <c r="E314" s="809"/>
      <c r="F314" s="810"/>
      <c r="G314" s="237"/>
      <c r="H314" s="601">
        <f>IF(Consolidado_Geral!$G$133=7.6%,-(0.0165+0.076)*F314,0)</f>
        <v>0</v>
      </c>
      <c r="I314" s="237"/>
      <c r="J314" s="614">
        <f t="shared" si="13"/>
        <v>0</v>
      </c>
      <c r="K314" s="237"/>
      <c r="L314" s="614">
        <f t="shared" si="12"/>
        <v>0</v>
      </c>
      <c r="M314" s="237"/>
      <c r="N314" s="614">
        <f t="shared" si="14"/>
        <v>0</v>
      </c>
    </row>
    <row r="315" spans="2:14">
      <c r="B315" s="793">
        <v>303</v>
      </c>
      <c r="C315" s="807"/>
      <c r="D315" s="808"/>
      <c r="E315" s="809"/>
      <c r="F315" s="810"/>
      <c r="G315" s="237"/>
      <c r="H315" s="601">
        <f>IF(Consolidado_Geral!$G$133=7.6%,-(0.0165+0.076)*F315,0)</f>
        <v>0</v>
      </c>
      <c r="I315" s="237"/>
      <c r="J315" s="614">
        <f t="shared" si="13"/>
        <v>0</v>
      </c>
      <c r="K315" s="237"/>
      <c r="L315" s="614">
        <f t="shared" si="12"/>
        <v>0</v>
      </c>
      <c r="M315" s="237"/>
      <c r="N315" s="614">
        <f t="shared" si="14"/>
        <v>0</v>
      </c>
    </row>
    <row r="316" spans="2:14">
      <c r="B316" s="793">
        <v>304</v>
      </c>
      <c r="C316" s="807"/>
      <c r="D316" s="808"/>
      <c r="E316" s="809"/>
      <c r="F316" s="810"/>
      <c r="G316" s="237"/>
      <c r="H316" s="601">
        <f>IF(Consolidado_Geral!$G$133=7.6%,-(0.0165+0.076)*F316,0)</f>
        <v>0</v>
      </c>
      <c r="I316" s="237"/>
      <c r="J316" s="614">
        <f t="shared" si="13"/>
        <v>0</v>
      </c>
      <c r="K316" s="237"/>
      <c r="L316" s="614">
        <f t="shared" si="12"/>
        <v>0</v>
      </c>
      <c r="M316" s="237"/>
      <c r="N316" s="614">
        <f t="shared" si="14"/>
        <v>0</v>
      </c>
    </row>
    <row r="317" spans="2:14">
      <c r="B317" s="793">
        <v>305</v>
      </c>
      <c r="C317" s="807"/>
      <c r="D317" s="808"/>
      <c r="E317" s="809"/>
      <c r="F317" s="810"/>
      <c r="G317" s="237"/>
      <c r="H317" s="601">
        <f>IF(Consolidado_Geral!$G$133=7.6%,-(0.0165+0.076)*F317,0)</f>
        <v>0</v>
      </c>
      <c r="I317" s="237"/>
      <c r="J317" s="614">
        <f t="shared" si="13"/>
        <v>0</v>
      </c>
      <c r="K317" s="237"/>
      <c r="L317" s="614">
        <f t="shared" si="12"/>
        <v>0</v>
      </c>
      <c r="M317" s="237"/>
      <c r="N317" s="614">
        <f t="shared" si="14"/>
        <v>0</v>
      </c>
    </row>
    <row r="318" spans="2:14">
      <c r="B318" s="793">
        <v>306</v>
      </c>
      <c r="C318" s="807"/>
      <c r="D318" s="808"/>
      <c r="E318" s="809"/>
      <c r="F318" s="810"/>
      <c r="G318" s="237"/>
      <c r="H318" s="601">
        <f>IF(Consolidado_Geral!$G$133=7.6%,-(0.0165+0.076)*F318,0)</f>
        <v>0</v>
      </c>
      <c r="I318" s="237"/>
      <c r="J318" s="614">
        <f t="shared" si="13"/>
        <v>0</v>
      </c>
      <c r="K318" s="237"/>
      <c r="L318" s="614">
        <f t="shared" si="12"/>
        <v>0</v>
      </c>
      <c r="M318" s="237"/>
      <c r="N318" s="614">
        <f t="shared" si="14"/>
        <v>0</v>
      </c>
    </row>
    <row r="319" spans="2:14">
      <c r="B319" s="793">
        <v>307</v>
      </c>
      <c r="C319" s="807"/>
      <c r="D319" s="808"/>
      <c r="E319" s="809"/>
      <c r="F319" s="810"/>
      <c r="G319" s="237"/>
      <c r="H319" s="601">
        <f>IF(Consolidado_Geral!$G$133=7.6%,-(0.0165+0.076)*F319,0)</f>
        <v>0</v>
      </c>
      <c r="I319" s="237"/>
      <c r="J319" s="614">
        <f t="shared" si="13"/>
        <v>0</v>
      </c>
      <c r="K319" s="237"/>
      <c r="L319" s="614">
        <f t="shared" si="12"/>
        <v>0</v>
      </c>
      <c r="M319" s="237"/>
      <c r="N319" s="614">
        <f t="shared" si="14"/>
        <v>0</v>
      </c>
    </row>
    <row r="320" spans="2:14">
      <c r="B320" s="793">
        <v>308</v>
      </c>
      <c r="C320" s="807"/>
      <c r="D320" s="808"/>
      <c r="E320" s="809"/>
      <c r="F320" s="810"/>
      <c r="G320" s="237"/>
      <c r="H320" s="601">
        <f>IF(Consolidado_Geral!$G$133=7.6%,-(0.0165+0.076)*F320,0)</f>
        <v>0</v>
      </c>
      <c r="I320" s="237"/>
      <c r="J320" s="614">
        <f t="shared" si="13"/>
        <v>0</v>
      </c>
      <c r="K320" s="237"/>
      <c r="L320" s="614">
        <f t="shared" si="12"/>
        <v>0</v>
      </c>
      <c r="M320" s="237"/>
      <c r="N320" s="614">
        <f t="shared" si="14"/>
        <v>0</v>
      </c>
    </row>
    <row r="321" spans="2:14">
      <c r="B321" s="793">
        <v>309</v>
      </c>
      <c r="C321" s="807"/>
      <c r="D321" s="808"/>
      <c r="E321" s="809"/>
      <c r="F321" s="810"/>
      <c r="G321" s="237"/>
      <c r="H321" s="601">
        <f>IF(Consolidado_Geral!$G$133=7.6%,-(0.0165+0.076)*F321,0)</f>
        <v>0</v>
      </c>
      <c r="I321" s="237"/>
      <c r="J321" s="614">
        <f t="shared" si="13"/>
        <v>0</v>
      </c>
      <c r="K321" s="237"/>
      <c r="L321" s="614">
        <f t="shared" si="12"/>
        <v>0</v>
      </c>
      <c r="M321" s="237"/>
      <c r="N321" s="614">
        <f t="shared" si="14"/>
        <v>0</v>
      </c>
    </row>
    <row r="322" spans="2:14">
      <c r="B322" s="793">
        <v>310</v>
      </c>
      <c r="C322" s="807"/>
      <c r="D322" s="808"/>
      <c r="E322" s="809"/>
      <c r="F322" s="810"/>
      <c r="G322" s="237"/>
      <c r="H322" s="601">
        <f>IF(Consolidado_Geral!$G$133=7.6%,-(0.0165+0.076)*F322,0)</f>
        <v>0</v>
      </c>
      <c r="I322" s="237"/>
      <c r="J322" s="614">
        <f t="shared" si="13"/>
        <v>0</v>
      </c>
      <c r="K322" s="237"/>
      <c r="L322" s="614">
        <f t="shared" si="12"/>
        <v>0</v>
      </c>
      <c r="M322" s="237"/>
      <c r="N322" s="614">
        <f t="shared" si="14"/>
        <v>0</v>
      </c>
    </row>
    <row r="323" spans="2:14">
      <c r="B323" s="793">
        <v>311</v>
      </c>
      <c r="C323" s="807"/>
      <c r="D323" s="808"/>
      <c r="E323" s="809"/>
      <c r="F323" s="810"/>
      <c r="G323" s="237"/>
      <c r="H323" s="601">
        <f>IF(Consolidado_Geral!$G$133=7.6%,-(0.0165+0.076)*F323,0)</f>
        <v>0</v>
      </c>
      <c r="I323" s="237"/>
      <c r="J323" s="614">
        <f t="shared" si="13"/>
        <v>0</v>
      </c>
      <c r="K323" s="237"/>
      <c r="L323" s="614">
        <f t="shared" si="12"/>
        <v>0</v>
      </c>
      <c r="M323" s="237"/>
      <c r="N323" s="614">
        <f t="shared" si="14"/>
        <v>0</v>
      </c>
    </row>
    <row r="324" spans="2:14">
      <c r="B324" s="793">
        <v>312</v>
      </c>
      <c r="C324" s="807"/>
      <c r="D324" s="808"/>
      <c r="E324" s="809"/>
      <c r="F324" s="810"/>
      <c r="G324" s="237"/>
      <c r="H324" s="601">
        <f>IF(Consolidado_Geral!$G$133=7.6%,-(0.0165+0.076)*F324,0)</f>
        <v>0</v>
      </c>
      <c r="I324" s="237"/>
      <c r="J324" s="614">
        <f t="shared" si="13"/>
        <v>0</v>
      </c>
      <c r="K324" s="237"/>
      <c r="L324" s="614">
        <f t="shared" si="12"/>
        <v>0</v>
      </c>
      <c r="M324" s="237"/>
      <c r="N324" s="614">
        <f t="shared" si="14"/>
        <v>0</v>
      </c>
    </row>
    <row r="325" spans="2:14">
      <c r="B325" s="793">
        <v>313</v>
      </c>
      <c r="C325" s="807"/>
      <c r="D325" s="808"/>
      <c r="E325" s="809"/>
      <c r="F325" s="810"/>
      <c r="G325" s="237"/>
      <c r="H325" s="601">
        <f>IF(Consolidado_Geral!$G$133=7.6%,-(0.0165+0.076)*F325,0)</f>
        <v>0</v>
      </c>
      <c r="I325" s="237"/>
      <c r="J325" s="614">
        <f t="shared" si="13"/>
        <v>0</v>
      </c>
      <c r="K325" s="237"/>
      <c r="L325" s="614">
        <f t="shared" si="12"/>
        <v>0</v>
      </c>
      <c r="M325" s="237"/>
      <c r="N325" s="614">
        <f t="shared" si="14"/>
        <v>0</v>
      </c>
    </row>
    <row r="326" spans="2:14">
      <c r="B326" s="793">
        <v>314</v>
      </c>
      <c r="C326" s="807"/>
      <c r="D326" s="808"/>
      <c r="E326" s="809"/>
      <c r="F326" s="810"/>
      <c r="G326" s="237"/>
      <c r="H326" s="601">
        <f>IF(Consolidado_Geral!$G$133=7.6%,-(0.0165+0.076)*F326,0)</f>
        <v>0</v>
      </c>
      <c r="I326" s="237"/>
      <c r="J326" s="614">
        <f t="shared" si="13"/>
        <v>0</v>
      </c>
      <c r="K326" s="237"/>
      <c r="L326" s="614">
        <f t="shared" si="12"/>
        <v>0</v>
      </c>
      <c r="M326" s="237"/>
      <c r="N326" s="614">
        <f t="shared" si="14"/>
        <v>0</v>
      </c>
    </row>
    <row r="327" spans="2:14">
      <c r="B327" s="793">
        <v>315</v>
      </c>
      <c r="C327" s="807"/>
      <c r="D327" s="808"/>
      <c r="E327" s="809"/>
      <c r="F327" s="810"/>
      <c r="G327" s="237"/>
      <c r="H327" s="601">
        <f>IF(Consolidado_Geral!$G$133=7.6%,-(0.0165+0.076)*F327,0)</f>
        <v>0</v>
      </c>
      <c r="I327" s="237"/>
      <c r="J327" s="614">
        <f t="shared" si="13"/>
        <v>0</v>
      </c>
      <c r="K327" s="237"/>
      <c r="L327" s="614">
        <f t="shared" si="12"/>
        <v>0</v>
      </c>
      <c r="M327" s="237"/>
      <c r="N327" s="614">
        <f t="shared" si="14"/>
        <v>0</v>
      </c>
    </row>
    <row r="328" spans="2:14">
      <c r="B328" s="793">
        <v>316</v>
      </c>
      <c r="C328" s="807"/>
      <c r="D328" s="808"/>
      <c r="E328" s="809"/>
      <c r="F328" s="810"/>
      <c r="G328" s="237"/>
      <c r="H328" s="601">
        <f>IF(Consolidado_Geral!$G$133=7.6%,-(0.0165+0.076)*F328,0)</f>
        <v>0</v>
      </c>
      <c r="I328" s="237"/>
      <c r="J328" s="614">
        <f t="shared" si="13"/>
        <v>0</v>
      </c>
      <c r="K328" s="237"/>
      <c r="L328" s="614">
        <f t="shared" si="12"/>
        <v>0</v>
      </c>
      <c r="M328" s="237"/>
      <c r="N328" s="614">
        <f t="shared" si="14"/>
        <v>0</v>
      </c>
    </row>
    <row r="329" spans="2:14">
      <c r="B329" s="793">
        <v>317</v>
      </c>
      <c r="C329" s="807"/>
      <c r="D329" s="808"/>
      <c r="E329" s="809"/>
      <c r="F329" s="810"/>
      <c r="G329" s="237"/>
      <c r="H329" s="601">
        <f>IF(Consolidado_Geral!$G$133=7.6%,-(0.0165+0.076)*F329,0)</f>
        <v>0</v>
      </c>
      <c r="I329" s="237"/>
      <c r="J329" s="614">
        <f t="shared" si="13"/>
        <v>0</v>
      </c>
      <c r="K329" s="237"/>
      <c r="L329" s="614">
        <f t="shared" si="12"/>
        <v>0</v>
      </c>
      <c r="M329" s="237"/>
      <c r="N329" s="614">
        <f t="shared" si="14"/>
        <v>0</v>
      </c>
    </row>
    <row r="330" spans="2:14">
      <c r="B330" s="793">
        <v>318</v>
      </c>
      <c r="C330" s="807"/>
      <c r="D330" s="808"/>
      <c r="E330" s="809"/>
      <c r="F330" s="810"/>
      <c r="G330" s="237"/>
      <c r="H330" s="601">
        <f>IF(Consolidado_Geral!$G$133=7.6%,-(0.0165+0.076)*F330,0)</f>
        <v>0</v>
      </c>
      <c r="I330" s="237"/>
      <c r="J330" s="614">
        <f t="shared" si="13"/>
        <v>0</v>
      </c>
      <c r="K330" s="237"/>
      <c r="L330" s="614">
        <f t="shared" si="12"/>
        <v>0</v>
      </c>
      <c r="M330" s="237"/>
      <c r="N330" s="614">
        <f t="shared" si="14"/>
        <v>0</v>
      </c>
    </row>
    <row r="331" spans="2:14">
      <c r="B331" s="793">
        <v>319</v>
      </c>
      <c r="C331" s="807"/>
      <c r="D331" s="808"/>
      <c r="E331" s="809"/>
      <c r="F331" s="810"/>
      <c r="G331" s="237"/>
      <c r="H331" s="601">
        <f>IF(Consolidado_Geral!$G$133=7.6%,-(0.0165+0.076)*F331,0)</f>
        <v>0</v>
      </c>
      <c r="I331" s="237"/>
      <c r="J331" s="614">
        <f t="shared" si="13"/>
        <v>0</v>
      </c>
      <c r="K331" s="237"/>
      <c r="L331" s="614">
        <f t="shared" si="12"/>
        <v>0</v>
      </c>
      <c r="M331" s="237"/>
      <c r="N331" s="614">
        <f t="shared" si="14"/>
        <v>0</v>
      </c>
    </row>
    <row r="332" spans="2:14">
      <c r="B332" s="793">
        <v>320</v>
      </c>
      <c r="C332" s="807"/>
      <c r="D332" s="808"/>
      <c r="E332" s="809"/>
      <c r="F332" s="810"/>
      <c r="G332" s="237"/>
      <c r="H332" s="601">
        <f>IF(Consolidado_Geral!$G$133=7.6%,-(0.0165+0.076)*F332,0)</f>
        <v>0</v>
      </c>
      <c r="I332" s="237"/>
      <c r="J332" s="614">
        <f t="shared" si="13"/>
        <v>0</v>
      </c>
      <c r="K332" s="237"/>
      <c r="L332" s="614">
        <f t="shared" si="12"/>
        <v>0</v>
      </c>
      <c r="M332" s="237"/>
      <c r="N332" s="614">
        <f t="shared" si="14"/>
        <v>0</v>
      </c>
    </row>
    <row r="333" spans="2:14">
      <c r="B333" s="793">
        <v>321</v>
      </c>
      <c r="C333" s="807"/>
      <c r="D333" s="808"/>
      <c r="E333" s="809"/>
      <c r="F333" s="810"/>
      <c r="G333" s="237"/>
      <c r="H333" s="601">
        <f>IF(Consolidado_Geral!$G$133=7.6%,-(0.0165+0.076)*F333,0)</f>
        <v>0</v>
      </c>
      <c r="I333" s="237"/>
      <c r="J333" s="614">
        <f t="shared" si="13"/>
        <v>0</v>
      </c>
      <c r="K333" s="237"/>
      <c r="L333" s="614">
        <f t="shared" ref="L333:L396" si="15">J333*E333</f>
        <v>0</v>
      </c>
      <c r="M333" s="237"/>
      <c r="N333" s="614">
        <f t="shared" si="14"/>
        <v>0</v>
      </c>
    </row>
    <row r="334" spans="2:14">
      <c r="B334" s="793">
        <v>322</v>
      </c>
      <c r="C334" s="807"/>
      <c r="D334" s="808"/>
      <c r="E334" s="809"/>
      <c r="F334" s="810"/>
      <c r="G334" s="237"/>
      <c r="H334" s="601">
        <f>IF(Consolidado_Geral!$G$133=7.6%,-(0.0165+0.076)*F334,0)</f>
        <v>0</v>
      </c>
      <c r="I334" s="237"/>
      <c r="J334" s="614">
        <f t="shared" si="13"/>
        <v>0</v>
      </c>
      <c r="K334" s="237"/>
      <c r="L334" s="614">
        <f t="shared" si="15"/>
        <v>0</v>
      </c>
      <c r="M334" s="237"/>
      <c r="N334" s="614">
        <f t="shared" si="14"/>
        <v>0</v>
      </c>
    </row>
    <row r="335" spans="2:14">
      <c r="B335" s="793">
        <v>323</v>
      </c>
      <c r="C335" s="807"/>
      <c r="D335" s="808"/>
      <c r="E335" s="809"/>
      <c r="F335" s="810"/>
      <c r="G335" s="237"/>
      <c r="H335" s="601">
        <f>IF(Consolidado_Geral!$G$133=7.6%,-(0.0165+0.076)*F335,0)</f>
        <v>0</v>
      </c>
      <c r="I335" s="237"/>
      <c r="J335" s="614">
        <f t="shared" si="13"/>
        <v>0</v>
      </c>
      <c r="K335" s="237"/>
      <c r="L335" s="614">
        <f t="shared" si="15"/>
        <v>0</v>
      </c>
      <c r="M335" s="237"/>
      <c r="N335" s="614">
        <f t="shared" si="14"/>
        <v>0</v>
      </c>
    </row>
    <row r="336" spans="2:14">
      <c r="B336" s="793">
        <v>324</v>
      </c>
      <c r="C336" s="807"/>
      <c r="D336" s="808"/>
      <c r="E336" s="809"/>
      <c r="F336" s="810"/>
      <c r="G336" s="237"/>
      <c r="H336" s="601">
        <f>IF(Consolidado_Geral!$G$133=7.6%,-(0.0165+0.076)*F336,0)</f>
        <v>0</v>
      </c>
      <c r="I336" s="237"/>
      <c r="J336" s="614">
        <f t="shared" si="13"/>
        <v>0</v>
      </c>
      <c r="K336" s="237"/>
      <c r="L336" s="614">
        <f t="shared" si="15"/>
        <v>0</v>
      </c>
      <c r="M336" s="237"/>
      <c r="N336" s="614">
        <f t="shared" si="14"/>
        <v>0</v>
      </c>
    </row>
    <row r="337" spans="2:14">
      <c r="B337" s="793">
        <v>325</v>
      </c>
      <c r="C337" s="807"/>
      <c r="D337" s="808"/>
      <c r="E337" s="809"/>
      <c r="F337" s="810"/>
      <c r="G337" s="237"/>
      <c r="H337" s="601">
        <f>IF(Consolidado_Geral!$G$133=7.6%,-(0.0165+0.076)*F337,0)</f>
        <v>0</v>
      </c>
      <c r="I337" s="237"/>
      <c r="J337" s="614">
        <f t="shared" si="13"/>
        <v>0</v>
      </c>
      <c r="K337" s="237"/>
      <c r="L337" s="614">
        <f t="shared" si="15"/>
        <v>0</v>
      </c>
      <c r="M337" s="237"/>
      <c r="N337" s="614">
        <f t="shared" si="14"/>
        <v>0</v>
      </c>
    </row>
    <row r="338" spans="2:14">
      <c r="B338" s="793">
        <v>326</v>
      </c>
      <c r="C338" s="807"/>
      <c r="D338" s="808"/>
      <c r="E338" s="809"/>
      <c r="F338" s="810"/>
      <c r="G338" s="237"/>
      <c r="H338" s="601">
        <f>IF(Consolidado_Geral!$G$133=7.6%,-(0.0165+0.076)*F338,0)</f>
        <v>0</v>
      </c>
      <c r="I338" s="237"/>
      <c r="J338" s="614">
        <f t="shared" si="13"/>
        <v>0</v>
      </c>
      <c r="K338" s="237"/>
      <c r="L338" s="614">
        <f t="shared" si="15"/>
        <v>0</v>
      </c>
      <c r="M338" s="237"/>
      <c r="N338" s="614">
        <f t="shared" si="14"/>
        <v>0</v>
      </c>
    </row>
    <row r="339" spans="2:14">
      <c r="B339" s="793">
        <v>327</v>
      </c>
      <c r="C339" s="807"/>
      <c r="D339" s="808"/>
      <c r="E339" s="809"/>
      <c r="F339" s="810"/>
      <c r="G339" s="237"/>
      <c r="H339" s="601">
        <f>IF(Consolidado_Geral!$G$133=7.6%,-(0.0165+0.076)*F339,0)</f>
        <v>0</v>
      </c>
      <c r="I339" s="237"/>
      <c r="J339" s="614">
        <f t="shared" si="13"/>
        <v>0</v>
      </c>
      <c r="K339" s="237"/>
      <c r="L339" s="614">
        <f t="shared" si="15"/>
        <v>0</v>
      </c>
      <c r="M339" s="237"/>
      <c r="N339" s="614">
        <f t="shared" si="14"/>
        <v>0</v>
      </c>
    </row>
    <row r="340" spans="2:14">
      <c r="B340" s="793">
        <v>328</v>
      </c>
      <c r="C340" s="807"/>
      <c r="D340" s="808"/>
      <c r="E340" s="809"/>
      <c r="F340" s="810"/>
      <c r="G340" s="237"/>
      <c r="H340" s="601">
        <f>IF(Consolidado_Geral!$G$133=7.6%,-(0.0165+0.076)*F340,0)</f>
        <v>0</v>
      </c>
      <c r="I340" s="237"/>
      <c r="J340" s="614">
        <f t="shared" si="13"/>
        <v>0</v>
      </c>
      <c r="K340" s="237"/>
      <c r="L340" s="614">
        <f t="shared" si="15"/>
        <v>0</v>
      </c>
      <c r="M340" s="237"/>
      <c r="N340" s="614">
        <f t="shared" si="14"/>
        <v>0</v>
      </c>
    </row>
    <row r="341" spans="2:14">
      <c r="B341" s="793">
        <v>329</v>
      </c>
      <c r="C341" s="807"/>
      <c r="D341" s="808"/>
      <c r="E341" s="809"/>
      <c r="F341" s="810"/>
      <c r="G341" s="237"/>
      <c r="H341" s="601">
        <f>IF(Consolidado_Geral!$G$133=7.6%,-(0.0165+0.076)*F341,0)</f>
        <v>0</v>
      </c>
      <c r="I341" s="237"/>
      <c r="J341" s="614">
        <f t="shared" si="13"/>
        <v>0</v>
      </c>
      <c r="K341" s="237"/>
      <c r="L341" s="614">
        <f t="shared" si="15"/>
        <v>0</v>
      </c>
      <c r="M341" s="237"/>
      <c r="N341" s="614">
        <f t="shared" si="14"/>
        <v>0</v>
      </c>
    </row>
    <row r="342" spans="2:14">
      <c r="B342" s="793">
        <v>330</v>
      </c>
      <c r="C342" s="807"/>
      <c r="D342" s="808"/>
      <c r="E342" s="809"/>
      <c r="F342" s="810"/>
      <c r="G342" s="237"/>
      <c r="H342" s="601">
        <f>IF(Consolidado_Geral!$G$133=7.6%,-(0.0165+0.076)*F342,0)</f>
        <v>0</v>
      </c>
      <c r="I342" s="237"/>
      <c r="J342" s="614">
        <f t="shared" si="13"/>
        <v>0</v>
      </c>
      <c r="K342" s="237"/>
      <c r="L342" s="614">
        <f t="shared" si="15"/>
        <v>0</v>
      </c>
      <c r="M342" s="237"/>
      <c r="N342" s="614">
        <f t="shared" si="14"/>
        <v>0</v>
      </c>
    </row>
    <row r="343" spans="2:14">
      <c r="B343" s="793">
        <v>331</v>
      </c>
      <c r="C343" s="807"/>
      <c r="D343" s="808"/>
      <c r="E343" s="809"/>
      <c r="F343" s="810"/>
      <c r="G343" s="237"/>
      <c r="H343" s="601">
        <f>IF(Consolidado_Geral!$G$133=7.6%,-(0.0165+0.076)*F343,0)</f>
        <v>0</v>
      </c>
      <c r="I343" s="237"/>
      <c r="J343" s="614">
        <f t="shared" si="13"/>
        <v>0</v>
      </c>
      <c r="K343" s="237"/>
      <c r="L343" s="614">
        <f t="shared" si="15"/>
        <v>0</v>
      </c>
      <c r="M343" s="237"/>
      <c r="N343" s="614">
        <f t="shared" si="14"/>
        <v>0</v>
      </c>
    </row>
    <row r="344" spans="2:14">
      <c r="B344" s="793">
        <v>332</v>
      </c>
      <c r="C344" s="807"/>
      <c r="D344" s="808"/>
      <c r="E344" s="809"/>
      <c r="F344" s="810"/>
      <c r="G344" s="237"/>
      <c r="H344" s="601">
        <f>IF(Consolidado_Geral!$G$133=7.6%,-(0.0165+0.076)*F344,0)</f>
        <v>0</v>
      </c>
      <c r="I344" s="237"/>
      <c r="J344" s="614">
        <f t="shared" si="13"/>
        <v>0</v>
      </c>
      <c r="K344" s="237"/>
      <c r="L344" s="614">
        <f t="shared" si="15"/>
        <v>0</v>
      </c>
      <c r="M344" s="237"/>
      <c r="N344" s="614">
        <f t="shared" si="14"/>
        <v>0</v>
      </c>
    </row>
    <row r="345" spans="2:14">
      <c r="B345" s="793">
        <v>333</v>
      </c>
      <c r="C345" s="807"/>
      <c r="D345" s="808"/>
      <c r="E345" s="809"/>
      <c r="F345" s="810"/>
      <c r="G345" s="237"/>
      <c r="H345" s="601">
        <f>IF(Consolidado_Geral!$G$133=7.6%,-(0.0165+0.076)*F345,0)</f>
        <v>0</v>
      </c>
      <c r="I345" s="237"/>
      <c r="J345" s="614">
        <f t="shared" si="13"/>
        <v>0</v>
      </c>
      <c r="K345" s="237"/>
      <c r="L345" s="614">
        <f t="shared" si="15"/>
        <v>0</v>
      </c>
      <c r="M345" s="237"/>
      <c r="N345" s="614">
        <f t="shared" si="14"/>
        <v>0</v>
      </c>
    </row>
    <row r="346" spans="2:14">
      <c r="B346" s="793">
        <v>334</v>
      </c>
      <c r="C346" s="807"/>
      <c r="D346" s="808"/>
      <c r="E346" s="809"/>
      <c r="F346" s="810"/>
      <c r="G346" s="237"/>
      <c r="H346" s="601">
        <f>IF(Consolidado_Geral!$G$133=7.6%,-(0.0165+0.076)*F346,0)</f>
        <v>0</v>
      </c>
      <c r="I346" s="237"/>
      <c r="J346" s="614">
        <f t="shared" si="13"/>
        <v>0</v>
      </c>
      <c r="K346" s="237"/>
      <c r="L346" s="614">
        <f t="shared" si="15"/>
        <v>0</v>
      </c>
      <c r="M346" s="237"/>
      <c r="N346" s="614">
        <f t="shared" si="14"/>
        <v>0</v>
      </c>
    </row>
    <row r="347" spans="2:14">
      <c r="B347" s="793">
        <v>335</v>
      </c>
      <c r="C347" s="807"/>
      <c r="D347" s="808"/>
      <c r="E347" s="809"/>
      <c r="F347" s="810"/>
      <c r="G347" s="237"/>
      <c r="H347" s="601">
        <f>IF(Consolidado_Geral!$G$133=7.6%,-(0.0165+0.076)*F347,0)</f>
        <v>0</v>
      </c>
      <c r="I347" s="237"/>
      <c r="J347" s="614">
        <f t="shared" si="13"/>
        <v>0</v>
      </c>
      <c r="K347" s="237"/>
      <c r="L347" s="614">
        <f t="shared" si="15"/>
        <v>0</v>
      </c>
      <c r="M347" s="237"/>
      <c r="N347" s="614">
        <f t="shared" si="14"/>
        <v>0</v>
      </c>
    </row>
    <row r="348" spans="2:14">
      <c r="B348" s="793">
        <v>336</v>
      </c>
      <c r="C348" s="807"/>
      <c r="D348" s="808"/>
      <c r="E348" s="809"/>
      <c r="F348" s="810"/>
      <c r="G348" s="237"/>
      <c r="H348" s="601">
        <f>IF(Consolidado_Geral!$G$133=7.6%,-(0.0165+0.076)*F348,0)</f>
        <v>0</v>
      </c>
      <c r="I348" s="237"/>
      <c r="J348" s="614">
        <f t="shared" si="13"/>
        <v>0</v>
      </c>
      <c r="K348" s="237"/>
      <c r="L348" s="614">
        <f t="shared" si="15"/>
        <v>0</v>
      </c>
      <c r="M348" s="237"/>
      <c r="N348" s="614">
        <f t="shared" si="14"/>
        <v>0</v>
      </c>
    </row>
    <row r="349" spans="2:14">
      <c r="B349" s="793">
        <v>337</v>
      </c>
      <c r="C349" s="807"/>
      <c r="D349" s="808"/>
      <c r="E349" s="809"/>
      <c r="F349" s="810"/>
      <c r="G349" s="237"/>
      <c r="H349" s="601">
        <f>IF(Consolidado_Geral!$G$133=7.6%,-(0.0165+0.076)*F349,0)</f>
        <v>0</v>
      </c>
      <c r="I349" s="237"/>
      <c r="J349" s="614">
        <f t="shared" si="13"/>
        <v>0</v>
      </c>
      <c r="K349" s="237"/>
      <c r="L349" s="614">
        <f t="shared" si="15"/>
        <v>0</v>
      </c>
      <c r="M349" s="237"/>
      <c r="N349" s="614">
        <f t="shared" si="14"/>
        <v>0</v>
      </c>
    </row>
    <row r="350" spans="2:14">
      <c r="B350" s="793">
        <v>338</v>
      </c>
      <c r="C350" s="807"/>
      <c r="D350" s="808"/>
      <c r="E350" s="809"/>
      <c r="F350" s="810"/>
      <c r="G350" s="237"/>
      <c r="H350" s="601">
        <f>IF(Consolidado_Geral!$G$133=7.6%,-(0.0165+0.076)*F350,0)</f>
        <v>0</v>
      </c>
      <c r="I350" s="237"/>
      <c r="J350" s="614">
        <f t="shared" si="13"/>
        <v>0</v>
      </c>
      <c r="K350" s="237"/>
      <c r="L350" s="614">
        <f t="shared" si="15"/>
        <v>0</v>
      </c>
      <c r="M350" s="237"/>
      <c r="N350" s="614">
        <f t="shared" si="14"/>
        <v>0</v>
      </c>
    </row>
    <row r="351" spans="2:14">
      <c r="B351" s="793">
        <v>339</v>
      </c>
      <c r="C351" s="807"/>
      <c r="D351" s="808"/>
      <c r="E351" s="809"/>
      <c r="F351" s="810"/>
      <c r="G351" s="237"/>
      <c r="H351" s="601">
        <f>IF(Consolidado_Geral!$G$133=7.6%,-(0.0165+0.076)*F351,0)</f>
        <v>0</v>
      </c>
      <c r="I351" s="237"/>
      <c r="J351" s="614">
        <f t="shared" si="13"/>
        <v>0</v>
      </c>
      <c r="K351" s="237"/>
      <c r="L351" s="614">
        <f t="shared" si="15"/>
        <v>0</v>
      </c>
      <c r="M351" s="237"/>
      <c r="N351" s="614">
        <f t="shared" si="14"/>
        <v>0</v>
      </c>
    </row>
    <row r="352" spans="2:14">
      <c r="B352" s="793">
        <v>340</v>
      </c>
      <c r="C352" s="807"/>
      <c r="D352" s="808"/>
      <c r="E352" s="809"/>
      <c r="F352" s="810"/>
      <c r="G352" s="237"/>
      <c r="H352" s="601">
        <f>IF(Consolidado_Geral!$G$133=7.6%,-(0.0165+0.076)*F352,0)</f>
        <v>0</v>
      </c>
      <c r="I352" s="237"/>
      <c r="J352" s="614">
        <f t="shared" si="13"/>
        <v>0</v>
      </c>
      <c r="K352" s="237"/>
      <c r="L352" s="614">
        <f t="shared" si="15"/>
        <v>0</v>
      </c>
      <c r="M352" s="237"/>
      <c r="N352" s="614">
        <f t="shared" si="14"/>
        <v>0</v>
      </c>
    </row>
    <row r="353" spans="2:14">
      <c r="B353" s="793">
        <v>341</v>
      </c>
      <c r="C353" s="807"/>
      <c r="D353" s="808"/>
      <c r="E353" s="809"/>
      <c r="F353" s="810"/>
      <c r="G353" s="237"/>
      <c r="H353" s="601">
        <f>IF(Consolidado_Geral!$G$133=7.6%,-(0.0165+0.076)*F353,0)</f>
        <v>0</v>
      </c>
      <c r="I353" s="237"/>
      <c r="J353" s="614">
        <f t="shared" si="13"/>
        <v>0</v>
      </c>
      <c r="K353" s="237"/>
      <c r="L353" s="614">
        <f t="shared" si="15"/>
        <v>0</v>
      </c>
      <c r="M353" s="237"/>
      <c r="N353" s="614">
        <f t="shared" si="14"/>
        <v>0</v>
      </c>
    </row>
    <row r="354" spans="2:14">
      <c r="B354" s="793">
        <v>342</v>
      </c>
      <c r="C354" s="807"/>
      <c r="D354" s="808"/>
      <c r="E354" s="809"/>
      <c r="F354" s="810"/>
      <c r="G354" s="237"/>
      <c r="H354" s="601">
        <f>IF(Consolidado_Geral!$G$133=7.6%,-(0.0165+0.076)*F354,0)</f>
        <v>0</v>
      </c>
      <c r="I354" s="237"/>
      <c r="J354" s="614">
        <f t="shared" si="13"/>
        <v>0</v>
      </c>
      <c r="K354" s="237"/>
      <c r="L354" s="614">
        <f t="shared" si="15"/>
        <v>0</v>
      </c>
      <c r="M354" s="237"/>
      <c r="N354" s="614">
        <f t="shared" si="14"/>
        <v>0</v>
      </c>
    </row>
    <row r="355" spans="2:14">
      <c r="B355" s="793">
        <v>343</v>
      </c>
      <c r="C355" s="807"/>
      <c r="D355" s="808"/>
      <c r="E355" s="809"/>
      <c r="F355" s="810"/>
      <c r="G355" s="237"/>
      <c r="H355" s="601">
        <f>IF(Consolidado_Geral!$G$133=7.6%,-(0.0165+0.076)*F355,0)</f>
        <v>0</v>
      </c>
      <c r="I355" s="237"/>
      <c r="J355" s="614">
        <f t="shared" si="13"/>
        <v>0</v>
      </c>
      <c r="K355" s="237"/>
      <c r="L355" s="614">
        <f t="shared" si="15"/>
        <v>0</v>
      </c>
      <c r="M355" s="237"/>
      <c r="N355" s="614">
        <f t="shared" si="14"/>
        <v>0</v>
      </c>
    </row>
    <row r="356" spans="2:14">
      <c r="B356" s="793">
        <v>344</v>
      </c>
      <c r="C356" s="807"/>
      <c r="D356" s="808"/>
      <c r="E356" s="809"/>
      <c r="F356" s="810"/>
      <c r="G356" s="237"/>
      <c r="H356" s="601">
        <f>IF(Consolidado_Geral!$G$133=7.6%,-(0.0165+0.076)*F356,0)</f>
        <v>0</v>
      </c>
      <c r="I356" s="237"/>
      <c r="J356" s="614">
        <f t="shared" si="13"/>
        <v>0</v>
      </c>
      <c r="K356" s="237"/>
      <c r="L356" s="614">
        <f t="shared" si="15"/>
        <v>0</v>
      </c>
      <c r="M356" s="237"/>
      <c r="N356" s="614">
        <f t="shared" si="14"/>
        <v>0</v>
      </c>
    </row>
    <row r="357" spans="2:14">
      <c r="B357" s="793">
        <v>345</v>
      </c>
      <c r="C357" s="807"/>
      <c r="D357" s="808"/>
      <c r="E357" s="809"/>
      <c r="F357" s="810"/>
      <c r="G357" s="237"/>
      <c r="H357" s="601">
        <f>IF(Consolidado_Geral!$G$133=7.6%,-(0.0165+0.076)*F357,0)</f>
        <v>0</v>
      </c>
      <c r="I357" s="237"/>
      <c r="J357" s="614">
        <f t="shared" si="13"/>
        <v>0</v>
      </c>
      <c r="K357" s="237"/>
      <c r="L357" s="614">
        <f t="shared" si="15"/>
        <v>0</v>
      </c>
      <c r="M357" s="237"/>
      <c r="N357" s="614">
        <f t="shared" si="14"/>
        <v>0</v>
      </c>
    </row>
    <row r="358" spans="2:14">
      <c r="B358" s="793">
        <v>346</v>
      </c>
      <c r="C358" s="807"/>
      <c r="D358" s="808"/>
      <c r="E358" s="809"/>
      <c r="F358" s="810"/>
      <c r="G358" s="237"/>
      <c r="H358" s="601">
        <f>IF(Consolidado_Geral!$G$133=7.6%,-(0.0165+0.076)*F358,0)</f>
        <v>0</v>
      </c>
      <c r="I358" s="237"/>
      <c r="J358" s="614">
        <f t="shared" si="13"/>
        <v>0</v>
      </c>
      <c r="K358" s="237"/>
      <c r="L358" s="614">
        <f t="shared" si="15"/>
        <v>0</v>
      </c>
      <c r="M358" s="237"/>
      <c r="N358" s="614">
        <f t="shared" si="14"/>
        <v>0</v>
      </c>
    </row>
    <row r="359" spans="2:14">
      <c r="B359" s="793">
        <v>347</v>
      </c>
      <c r="C359" s="807"/>
      <c r="D359" s="808"/>
      <c r="E359" s="809"/>
      <c r="F359" s="810"/>
      <c r="G359" s="237"/>
      <c r="H359" s="601">
        <f>IF(Consolidado_Geral!$G$133=7.6%,-(0.0165+0.076)*F359,0)</f>
        <v>0</v>
      </c>
      <c r="I359" s="237"/>
      <c r="J359" s="614">
        <f t="shared" si="13"/>
        <v>0</v>
      </c>
      <c r="K359" s="237"/>
      <c r="L359" s="614">
        <f t="shared" si="15"/>
        <v>0</v>
      </c>
      <c r="M359" s="237"/>
      <c r="N359" s="614">
        <f t="shared" si="14"/>
        <v>0</v>
      </c>
    </row>
    <row r="360" spans="2:14">
      <c r="B360" s="793">
        <v>348</v>
      </c>
      <c r="C360" s="807"/>
      <c r="D360" s="808"/>
      <c r="E360" s="809"/>
      <c r="F360" s="810"/>
      <c r="G360" s="237"/>
      <c r="H360" s="601">
        <f>IF(Consolidado_Geral!$G$133=7.6%,-(0.0165+0.076)*F360,0)</f>
        <v>0</v>
      </c>
      <c r="I360" s="237"/>
      <c r="J360" s="614">
        <f t="shared" si="13"/>
        <v>0</v>
      </c>
      <c r="K360" s="237"/>
      <c r="L360" s="614">
        <f t="shared" si="15"/>
        <v>0</v>
      </c>
      <c r="M360" s="237"/>
      <c r="N360" s="614">
        <f t="shared" si="14"/>
        <v>0</v>
      </c>
    </row>
    <row r="361" spans="2:14">
      <c r="B361" s="793">
        <v>349</v>
      </c>
      <c r="C361" s="807"/>
      <c r="D361" s="808"/>
      <c r="E361" s="809"/>
      <c r="F361" s="810"/>
      <c r="G361" s="237"/>
      <c r="H361" s="601">
        <f>IF(Consolidado_Geral!$G$133=7.6%,-(0.0165+0.076)*F361,0)</f>
        <v>0</v>
      </c>
      <c r="I361" s="237"/>
      <c r="J361" s="614">
        <f t="shared" si="13"/>
        <v>0</v>
      </c>
      <c r="K361" s="237"/>
      <c r="L361" s="614">
        <f t="shared" si="15"/>
        <v>0</v>
      </c>
      <c r="M361" s="237"/>
      <c r="N361" s="614">
        <f t="shared" si="14"/>
        <v>0</v>
      </c>
    </row>
    <row r="362" spans="2:14">
      <c r="B362" s="793">
        <v>350</v>
      </c>
      <c r="C362" s="807"/>
      <c r="D362" s="808"/>
      <c r="E362" s="809"/>
      <c r="F362" s="810"/>
      <c r="G362" s="237"/>
      <c r="H362" s="601">
        <f>IF(Consolidado_Geral!$G$133=7.6%,-(0.0165+0.076)*F362,0)</f>
        <v>0</v>
      </c>
      <c r="I362" s="237"/>
      <c r="J362" s="614">
        <f t="shared" si="13"/>
        <v>0</v>
      </c>
      <c r="K362" s="237"/>
      <c r="L362" s="614">
        <f t="shared" si="15"/>
        <v>0</v>
      </c>
      <c r="M362" s="237"/>
      <c r="N362" s="614">
        <f t="shared" si="14"/>
        <v>0</v>
      </c>
    </row>
    <row r="363" spans="2:14">
      <c r="B363" s="793">
        <v>351</v>
      </c>
      <c r="C363" s="807"/>
      <c r="D363" s="808"/>
      <c r="E363" s="809"/>
      <c r="F363" s="810"/>
      <c r="G363" s="237"/>
      <c r="H363" s="601">
        <f>IF(Consolidado_Geral!$G$133=7.6%,-(0.0165+0.076)*F363,0)</f>
        <v>0</v>
      </c>
      <c r="I363" s="237"/>
      <c r="J363" s="614">
        <f t="shared" si="13"/>
        <v>0</v>
      </c>
      <c r="K363" s="237"/>
      <c r="L363" s="614">
        <f t="shared" si="15"/>
        <v>0</v>
      </c>
      <c r="M363" s="237"/>
      <c r="N363" s="614">
        <f t="shared" si="14"/>
        <v>0</v>
      </c>
    </row>
    <row r="364" spans="2:14">
      <c r="B364" s="793">
        <v>352</v>
      </c>
      <c r="C364" s="807"/>
      <c r="D364" s="808"/>
      <c r="E364" s="809"/>
      <c r="F364" s="810"/>
      <c r="G364" s="237"/>
      <c r="H364" s="601">
        <f>IF(Consolidado_Geral!$G$133=7.6%,-(0.0165+0.076)*F364,0)</f>
        <v>0</v>
      </c>
      <c r="I364" s="237"/>
      <c r="J364" s="614">
        <f t="shared" si="13"/>
        <v>0</v>
      </c>
      <c r="K364" s="237"/>
      <c r="L364" s="614">
        <f t="shared" si="15"/>
        <v>0</v>
      </c>
      <c r="M364" s="237"/>
      <c r="N364" s="614">
        <f t="shared" si="14"/>
        <v>0</v>
      </c>
    </row>
    <row r="365" spans="2:14">
      <c r="B365" s="793">
        <v>353</v>
      </c>
      <c r="C365" s="807"/>
      <c r="D365" s="808"/>
      <c r="E365" s="809"/>
      <c r="F365" s="810"/>
      <c r="G365" s="237"/>
      <c r="H365" s="601">
        <f>IF(Consolidado_Geral!$G$133=7.6%,-(0.0165+0.076)*F365,0)</f>
        <v>0</v>
      </c>
      <c r="I365" s="237"/>
      <c r="J365" s="614">
        <f t="shared" si="13"/>
        <v>0</v>
      </c>
      <c r="K365" s="237"/>
      <c r="L365" s="614">
        <f t="shared" si="15"/>
        <v>0</v>
      </c>
      <c r="M365" s="237"/>
      <c r="N365" s="614">
        <f t="shared" si="14"/>
        <v>0</v>
      </c>
    </row>
    <row r="366" spans="2:14">
      <c r="B366" s="793">
        <v>354</v>
      </c>
      <c r="C366" s="807"/>
      <c r="D366" s="808"/>
      <c r="E366" s="809"/>
      <c r="F366" s="810"/>
      <c r="G366" s="237"/>
      <c r="H366" s="601">
        <f>IF(Consolidado_Geral!$G$133=7.6%,-(0.0165+0.076)*F366,0)</f>
        <v>0</v>
      </c>
      <c r="I366" s="237"/>
      <c r="J366" s="614">
        <f t="shared" si="13"/>
        <v>0</v>
      </c>
      <c r="K366" s="237"/>
      <c r="L366" s="614">
        <f t="shared" si="15"/>
        <v>0</v>
      </c>
      <c r="M366" s="237"/>
      <c r="N366" s="614">
        <f t="shared" si="14"/>
        <v>0</v>
      </c>
    </row>
    <row r="367" spans="2:14">
      <c r="B367" s="793">
        <v>355</v>
      </c>
      <c r="C367" s="807"/>
      <c r="D367" s="808"/>
      <c r="E367" s="809"/>
      <c r="F367" s="810"/>
      <c r="G367" s="237"/>
      <c r="H367" s="601">
        <f>IF(Consolidado_Geral!$G$133=7.6%,-(0.0165+0.076)*F367,0)</f>
        <v>0</v>
      </c>
      <c r="I367" s="237"/>
      <c r="J367" s="614">
        <f t="shared" si="13"/>
        <v>0</v>
      </c>
      <c r="K367" s="237"/>
      <c r="L367" s="614">
        <f t="shared" si="15"/>
        <v>0</v>
      </c>
      <c r="M367" s="237"/>
      <c r="N367" s="614">
        <f t="shared" si="14"/>
        <v>0</v>
      </c>
    </row>
    <row r="368" spans="2:14">
      <c r="B368" s="793">
        <v>356</v>
      </c>
      <c r="C368" s="807"/>
      <c r="D368" s="808"/>
      <c r="E368" s="809"/>
      <c r="F368" s="810"/>
      <c r="G368" s="237"/>
      <c r="H368" s="601">
        <f>IF(Consolidado_Geral!$G$133=7.6%,-(0.0165+0.076)*F368,0)</f>
        <v>0</v>
      </c>
      <c r="I368" s="237"/>
      <c r="J368" s="614">
        <f t="shared" si="13"/>
        <v>0</v>
      </c>
      <c r="K368" s="237"/>
      <c r="L368" s="614">
        <f t="shared" si="15"/>
        <v>0</v>
      </c>
      <c r="M368" s="237"/>
      <c r="N368" s="614">
        <f t="shared" si="14"/>
        <v>0</v>
      </c>
    </row>
    <row r="369" spans="2:14">
      <c r="B369" s="793">
        <v>357</v>
      </c>
      <c r="C369" s="807"/>
      <c r="D369" s="808"/>
      <c r="E369" s="809"/>
      <c r="F369" s="810"/>
      <c r="G369" s="237"/>
      <c r="H369" s="601">
        <f>IF(Consolidado_Geral!$G$133=7.6%,-(0.0165+0.076)*F369,0)</f>
        <v>0</v>
      </c>
      <c r="I369" s="237"/>
      <c r="J369" s="614">
        <f t="shared" si="13"/>
        <v>0</v>
      </c>
      <c r="K369" s="237"/>
      <c r="L369" s="614">
        <f t="shared" si="15"/>
        <v>0</v>
      </c>
      <c r="M369" s="237"/>
      <c r="N369" s="614">
        <f t="shared" si="14"/>
        <v>0</v>
      </c>
    </row>
    <row r="370" spans="2:14">
      <c r="B370" s="793">
        <v>358</v>
      </c>
      <c r="C370" s="807"/>
      <c r="D370" s="808"/>
      <c r="E370" s="809"/>
      <c r="F370" s="810"/>
      <c r="G370" s="237"/>
      <c r="H370" s="601">
        <f>IF(Consolidado_Geral!$G$133=7.6%,-(0.0165+0.076)*F370,0)</f>
        <v>0</v>
      </c>
      <c r="I370" s="237"/>
      <c r="J370" s="614">
        <f t="shared" si="13"/>
        <v>0</v>
      </c>
      <c r="K370" s="237"/>
      <c r="L370" s="614">
        <f t="shared" si="15"/>
        <v>0</v>
      </c>
      <c r="M370" s="237"/>
      <c r="N370" s="614">
        <f t="shared" si="14"/>
        <v>0</v>
      </c>
    </row>
    <row r="371" spans="2:14">
      <c r="B371" s="793">
        <v>359</v>
      </c>
      <c r="C371" s="807"/>
      <c r="D371" s="808"/>
      <c r="E371" s="809"/>
      <c r="F371" s="810"/>
      <c r="G371" s="237"/>
      <c r="H371" s="601">
        <f>IF(Consolidado_Geral!$G$133=7.6%,-(0.0165+0.076)*F371,0)</f>
        <v>0</v>
      </c>
      <c r="I371" s="237"/>
      <c r="J371" s="614">
        <f t="shared" si="13"/>
        <v>0</v>
      </c>
      <c r="K371" s="237"/>
      <c r="L371" s="614">
        <f t="shared" si="15"/>
        <v>0</v>
      </c>
      <c r="M371" s="237"/>
      <c r="N371" s="614">
        <f t="shared" si="14"/>
        <v>0</v>
      </c>
    </row>
    <row r="372" spans="2:14">
      <c r="B372" s="793">
        <v>360</v>
      </c>
      <c r="C372" s="807"/>
      <c r="D372" s="808"/>
      <c r="E372" s="809"/>
      <c r="F372" s="810"/>
      <c r="G372" s="237"/>
      <c r="H372" s="601">
        <f>IF(Consolidado_Geral!$G$133=7.6%,-(0.0165+0.076)*F372,0)</f>
        <v>0</v>
      </c>
      <c r="I372" s="237"/>
      <c r="J372" s="614">
        <f t="shared" si="13"/>
        <v>0</v>
      </c>
      <c r="K372" s="237"/>
      <c r="L372" s="614">
        <f t="shared" si="15"/>
        <v>0</v>
      </c>
      <c r="M372" s="237"/>
      <c r="N372" s="614">
        <f t="shared" si="14"/>
        <v>0</v>
      </c>
    </row>
    <row r="373" spans="2:14">
      <c r="B373" s="793">
        <v>361</v>
      </c>
      <c r="C373" s="807"/>
      <c r="D373" s="808"/>
      <c r="E373" s="809"/>
      <c r="F373" s="810"/>
      <c r="G373" s="237"/>
      <c r="H373" s="601">
        <f>IF(Consolidado_Geral!$G$133=7.6%,-(0.0165+0.076)*F373,0)</f>
        <v>0</v>
      </c>
      <c r="I373" s="237"/>
      <c r="J373" s="614">
        <f t="shared" si="13"/>
        <v>0</v>
      </c>
      <c r="K373" s="237"/>
      <c r="L373" s="614">
        <f t="shared" si="15"/>
        <v>0</v>
      </c>
      <c r="M373" s="237"/>
      <c r="N373" s="614">
        <f t="shared" si="14"/>
        <v>0</v>
      </c>
    </row>
    <row r="374" spans="2:14">
      <c r="B374" s="793">
        <v>362</v>
      </c>
      <c r="C374" s="807"/>
      <c r="D374" s="808"/>
      <c r="E374" s="809"/>
      <c r="F374" s="810"/>
      <c r="G374" s="237"/>
      <c r="H374" s="601">
        <f>IF(Consolidado_Geral!$G$133=7.6%,-(0.0165+0.076)*F374,0)</f>
        <v>0</v>
      </c>
      <c r="I374" s="237"/>
      <c r="J374" s="614">
        <f t="shared" si="13"/>
        <v>0</v>
      </c>
      <c r="K374" s="237"/>
      <c r="L374" s="614">
        <f t="shared" si="15"/>
        <v>0</v>
      </c>
      <c r="M374" s="237"/>
      <c r="N374" s="614">
        <f t="shared" si="14"/>
        <v>0</v>
      </c>
    </row>
    <row r="375" spans="2:14">
      <c r="B375" s="793">
        <v>363</v>
      </c>
      <c r="C375" s="807"/>
      <c r="D375" s="808"/>
      <c r="E375" s="809"/>
      <c r="F375" s="810"/>
      <c r="G375" s="237"/>
      <c r="H375" s="601">
        <f>IF(Consolidado_Geral!$G$133=7.6%,-(0.0165+0.076)*F375,0)</f>
        <v>0</v>
      </c>
      <c r="I375" s="237"/>
      <c r="J375" s="614">
        <f t="shared" si="13"/>
        <v>0</v>
      </c>
      <c r="K375" s="237"/>
      <c r="L375" s="614">
        <f t="shared" si="15"/>
        <v>0</v>
      </c>
      <c r="M375" s="237"/>
      <c r="N375" s="614">
        <f t="shared" si="14"/>
        <v>0</v>
      </c>
    </row>
    <row r="376" spans="2:14">
      <c r="B376" s="793">
        <v>364</v>
      </c>
      <c r="C376" s="807"/>
      <c r="D376" s="808"/>
      <c r="E376" s="809"/>
      <c r="F376" s="810"/>
      <c r="G376" s="237"/>
      <c r="H376" s="601">
        <f>IF(Consolidado_Geral!$G$133=7.6%,-(0.0165+0.076)*F376,0)</f>
        <v>0</v>
      </c>
      <c r="I376" s="237"/>
      <c r="J376" s="614">
        <f t="shared" si="13"/>
        <v>0</v>
      </c>
      <c r="K376" s="237"/>
      <c r="L376" s="614">
        <f t="shared" si="15"/>
        <v>0</v>
      </c>
      <c r="M376" s="237"/>
      <c r="N376" s="614">
        <f t="shared" si="14"/>
        <v>0</v>
      </c>
    </row>
    <row r="377" spans="2:14">
      <c r="B377" s="793">
        <v>365</v>
      </c>
      <c r="C377" s="807"/>
      <c r="D377" s="808"/>
      <c r="E377" s="809"/>
      <c r="F377" s="810"/>
      <c r="G377" s="237"/>
      <c r="H377" s="601">
        <f>IF(Consolidado_Geral!$G$133=7.6%,-(0.0165+0.076)*F377,0)</f>
        <v>0</v>
      </c>
      <c r="I377" s="237"/>
      <c r="J377" s="614">
        <f t="shared" si="13"/>
        <v>0</v>
      </c>
      <c r="K377" s="237"/>
      <c r="L377" s="614">
        <f t="shared" si="15"/>
        <v>0</v>
      </c>
      <c r="M377" s="237"/>
      <c r="N377" s="614">
        <f t="shared" si="14"/>
        <v>0</v>
      </c>
    </row>
    <row r="378" spans="2:14">
      <c r="B378" s="793">
        <v>366</v>
      </c>
      <c r="C378" s="807"/>
      <c r="D378" s="808"/>
      <c r="E378" s="809"/>
      <c r="F378" s="810"/>
      <c r="G378" s="237"/>
      <c r="H378" s="601">
        <f>IF(Consolidado_Geral!$G$133=7.6%,-(0.0165+0.076)*F378,0)</f>
        <v>0</v>
      </c>
      <c r="I378" s="237"/>
      <c r="J378" s="614">
        <f t="shared" si="13"/>
        <v>0</v>
      </c>
      <c r="K378" s="237"/>
      <c r="L378" s="614">
        <f t="shared" si="15"/>
        <v>0</v>
      </c>
      <c r="M378" s="237"/>
      <c r="N378" s="614">
        <f t="shared" si="14"/>
        <v>0</v>
      </c>
    </row>
    <row r="379" spans="2:14">
      <c r="B379" s="793">
        <v>367</v>
      </c>
      <c r="C379" s="807"/>
      <c r="D379" s="808"/>
      <c r="E379" s="809"/>
      <c r="F379" s="810"/>
      <c r="G379" s="237"/>
      <c r="H379" s="601">
        <f>IF(Consolidado_Geral!$G$133=7.6%,-(0.0165+0.076)*F379,0)</f>
        <v>0</v>
      </c>
      <c r="I379" s="237"/>
      <c r="J379" s="614">
        <f t="shared" si="13"/>
        <v>0</v>
      </c>
      <c r="K379" s="237"/>
      <c r="L379" s="614">
        <f t="shared" si="15"/>
        <v>0</v>
      </c>
      <c r="M379" s="237"/>
      <c r="N379" s="614">
        <f t="shared" si="14"/>
        <v>0</v>
      </c>
    </row>
    <row r="380" spans="2:14">
      <c r="B380" s="793">
        <v>368</v>
      </c>
      <c r="C380" s="807"/>
      <c r="D380" s="808"/>
      <c r="E380" s="809"/>
      <c r="F380" s="810"/>
      <c r="G380" s="237"/>
      <c r="H380" s="601">
        <f>IF(Consolidado_Geral!$G$133=7.6%,-(0.0165+0.076)*F380,0)</f>
        <v>0</v>
      </c>
      <c r="I380" s="237"/>
      <c r="J380" s="614">
        <f t="shared" si="13"/>
        <v>0</v>
      </c>
      <c r="K380" s="237"/>
      <c r="L380" s="614">
        <f t="shared" si="15"/>
        <v>0</v>
      </c>
      <c r="M380" s="237"/>
      <c r="N380" s="614">
        <f t="shared" si="14"/>
        <v>0</v>
      </c>
    </row>
    <row r="381" spans="2:14">
      <c r="B381" s="793">
        <v>369</v>
      </c>
      <c r="C381" s="807"/>
      <c r="D381" s="808"/>
      <c r="E381" s="809"/>
      <c r="F381" s="810"/>
      <c r="G381" s="237"/>
      <c r="H381" s="601">
        <f>IF(Consolidado_Geral!$G$133=7.6%,-(0.0165+0.076)*F381,0)</f>
        <v>0</v>
      </c>
      <c r="I381" s="237"/>
      <c r="J381" s="614">
        <f t="shared" si="13"/>
        <v>0</v>
      </c>
      <c r="K381" s="237"/>
      <c r="L381" s="614">
        <f t="shared" si="15"/>
        <v>0</v>
      </c>
      <c r="M381" s="237"/>
      <c r="N381" s="614">
        <f t="shared" si="14"/>
        <v>0</v>
      </c>
    </row>
    <row r="382" spans="2:14">
      <c r="B382" s="793">
        <v>370</v>
      </c>
      <c r="C382" s="807"/>
      <c r="D382" s="808"/>
      <c r="E382" s="809"/>
      <c r="F382" s="810"/>
      <c r="G382" s="237"/>
      <c r="H382" s="601">
        <f>IF(Consolidado_Geral!$G$133=7.6%,-(0.0165+0.076)*F382,0)</f>
        <v>0</v>
      </c>
      <c r="I382" s="237"/>
      <c r="J382" s="614">
        <f t="shared" si="13"/>
        <v>0</v>
      </c>
      <c r="K382" s="237"/>
      <c r="L382" s="614">
        <f t="shared" si="15"/>
        <v>0</v>
      </c>
      <c r="M382" s="237"/>
      <c r="N382" s="614">
        <f t="shared" si="14"/>
        <v>0</v>
      </c>
    </row>
    <row r="383" spans="2:14">
      <c r="B383" s="793">
        <v>371</v>
      </c>
      <c r="C383" s="807"/>
      <c r="D383" s="808"/>
      <c r="E383" s="809"/>
      <c r="F383" s="810"/>
      <c r="G383" s="237"/>
      <c r="H383" s="601">
        <f>IF(Consolidado_Geral!$G$133=7.6%,-(0.0165+0.076)*F383,0)</f>
        <v>0</v>
      </c>
      <c r="I383" s="237"/>
      <c r="J383" s="614">
        <f t="shared" si="13"/>
        <v>0</v>
      </c>
      <c r="K383" s="237"/>
      <c r="L383" s="614">
        <f t="shared" si="15"/>
        <v>0</v>
      </c>
      <c r="M383" s="237"/>
      <c r="N383" s="614">
        <f t="shared" si="14"/>
        <v>0</v>
      </c>
    </row>
    <row r="384" spans="2:14">
      <c r="B384" s="793">
        <v>372</v>
      </c>
      <c r="C384" s="807"/>
      <c r="D384" s="808"/>
      <c r="E384" s="809"/>
      <c r="F384" s="810"/>
      <c r="G384" s="237"/>
      <c r="H384" s="601">
        <f>IF(Consolidado_Geral!$G$133=7.6%,-(0.0165+0.076)*F384,0)</f>
        <v>0</v>
      </c>
      <c r="I384" s="237"/>
      <c r="J384" s="614">
        <f t="shared" si="13"/>
        <v>0</v>
      </c>
      <c r="K384" s="237"/>
      <c r="L384" s="614">
        <f t="shared" si="15"/>
        <v>0</v>
      </c>
      <c r="M384" s="237"/>
      <c r="N384" s="614">
        <f t="shared" si="14"/>
        <v>0</v>
      </c>
    </row>
    <row r="385" spans="2:14">
      <c r="B385" s="793">
        <v>373</v>
      </c>
      <c r="C385" s="807"/>
      <c r="D385" s="808"/>
      <c r="E385" s="809"/>
      <c r="F385" s="810"/>
      <c r="G385" s="237"/>
      <c r="H385" s="601">
        <f>IF(Consolidado_Geral!$G$133=7.6%,-(0.0165+0.076)*F385,0)</f>
        <v>0</v>
      </c>
      <c r="I385" s="237"/>
      <c r="J385" s="614">
        <f t="shared" si="13"/>
        <v>0</v>
      </c>
      <c r="K385" s="237"/>
      <c r="L385" s="614">
        <f t="shared" si="15"/>
        <v>0</v>
      </c>
      <c r="M385" s="237"/>
      <c r="N385" s="614">
        <f t="shared" si="14"/>
        <v>0</v>
      </c>
    </row>
    <row r="386" spans="2:14">
      <c r="B386" s="793">
        <v>374</v>
      </c>
      <c r="C386" s="807"/>
      <c r="D386" s="808"/>
      <c r="E386" s="809"/>
      <c r="F386" s="810"/>
      <c r="G386" s="237"/>
      <c r="H386" s="601">
        <f>IF(Consolidado_Geral!$G$133=7.6%,-(0.0165+0.076)*F386,0)</f>
        <v>0</v>
      </c>
      <c r="I386" s="237"/>
      <c r="J386" s="614">
        <f t="shared" si="13"/>
        <v>0</v>
      </c>
      <c r="K386" s="237"/>
      <c r="L386" s="614">
        <f t="shared" si="15"/>
        <v>0</v>
      </c>
      <c r="M386" s="237"/>
      <c r="N386" s="614">
        <f t="shared" si="14"/>
        <v>0</v>
      </c>
    </row>
    <row r="387" spans="2:14">
      <c r="B387" s="793">
        <v>375</v>
      </c>
      <c r="C387" s="807"/>
      <c r="D387" s="808"/>
      <c r="E387" s="809"/>
      <c r="F387" s="810"/>
      <c r="G387" s="237"/>
      <c r="H387" s="601">
        <f>IF(Consolidado_Geral!$G$133=7.6%,-(0.0165+0.076)*F387,0)</f>
        <v>0</v>
      </c>
      <c r="I387" s="237"/>
      <c r="J387" s="614">
        <f t="shared" si="13"/>
        <v>0</v>
      </c>
      <c r="K387" s="237"/>
      <c r="L387" s="614">
        <f t="shared" si="15"/>
        <v>0</v>
      </c>
      <c r="M387" s="237"/>
      <c r="N387" s="614">
        <f t="shared" si="14"/>
        <v>0</v>
      </c>
    </row>
    <row r="388" spans="2:14">
      <c r="B388" s="793">
        <v>376</v>
      </c>
      <c r="C388" s="807"/>
      <c r="D388" s="808"/>
      <c r="E388" s="809"/>
      <c r="F388" s="810"/>
      <c r="G388" s="237"/>
      <c r="H388" s="601">
        <f>IF(Consolidado_Geral!$G$133=7.6%,-(0.0165+0.076)*F388,0)</f>
        <v>0</v>
      </c>
      <c r="I388" s="237"/>
      <c r="J388" s="614">
        <f t="shared" si="13"/>
        <v>0</v>
      </c>
      <c r="K388" s="237"/>
      <c r="L388" s="614">
        <f t="shared" si="15"/>
        <v>0</v>
      </c>
      <c r="M388" s="237"/>
      <c r="N388" s="614">
        <f t="shared" si="14"/>
        <v>0</v>
      </c>
    </row>
    <row r="389" spans="2:14">
      <c r="B389" s="793">
        <v>377</v>
      </c>
      <c r="C389" s="807"/>
      <c r="D389" s="808"/>
      <c r="E389" s="809"/>
      <c r="F389" s="810"/>
      <c r="G389" s="237"/>
      <c r="H389" s="601">
        <f>IF(Consolidado_Geral!$G$133=7.6%,-(0.0165+0.076)*F389,0)</f>
        <v>0</v>
      </c>
      <c r="I389" s="237"/>
      <c r="J389" s="614">
        <f t="shared" si="13"/>
        <v>0</v>
      </c>
      <c r="K389" s="237"/>
      <c r="L389" s="614">
        <f t="shared" si="15"/>
        <v>0</v>
      </c>
      <c r="M389" s="237"/>
      <c r="N389" s="614">
        <f t="shared" si="14"/>
        <v>0</v>
      </c>
    </row>
    <row r="390" spans="2:14">
      <c r="B390" s="793">
        <v>378</v>
      </c>
      <c r="C390" s="807"/>
      <c r="D390" s="808"/>
      <c r="E390" s="809"/>
      <c r="F390" s="810"/>
      <c r="G390" s="237"/>
      <c r="H390" s="601">
        <f>IF(Consolidado_Geral!$G$133=7.6%,-(0.0165+0.076)*F390,0)</f>
        <v>0</v>
      </c>
      <c r="I390" s="237"/>
      <c r="J390" s="614">
        <f t="shared" si="13"/>
        <v>0</v>
      </c>
      <c r="K390" s="237"/>
      <c r="L390" s="614">
        <f t="shared" si="15"/>
        <v>0</v>
      </c>
      <c r="M390" s="237"/>
      <c r="N390" s="614">
        <f t="shared" si="14"/>
        <v>0</v>
      </c>
    </row>
    <row r="391" spans="2:14">
      <c r="B391" s="793">
        <v>379</v>
      </c>
      <c r="C391" s="807"/>
      <c r="D391" s="808"/>
      <c r="E391" s="809"/>
      <c r="F391" s="810"/>
      <c r="G391" s="237"/>
      <c r="H391" s="601">
        <f>IF(Consolidado_Geral!$G$133=7.6%,-(0.0165+0.076)*F391,0)</f>
        <v>0</v>
      </c>
      <c r="I391" s="237"/>
      <c r="J391" s="614">
        <f t="shared" si="13"/>
        <v>0</v>
      </c>
      <c r="K391" s="237"/>
      <c r="L391" s="614">
        <f t="shared" si="15"/>
        <v>0</v>
      </c>
      <c r="M391" s="237"/>
      <c r="N391" s="614">
        <f t="shared" si="14"/>
        <v>0</v>
      </c>
    </row>
    <row r="392" spans="2:14">
      <c r="B392" s="793">
        <v>380</v>
      </c>
      <c r="C392" s="807"/>
      <c r="D392" s="808"/>
      <c r="E392" s="809"/>
      <c r="F392" s="810"/>
      <c r="G392" s="237"/>
      <c r="H392" s="601">
        <f>IF(Consolidado_Geral!$G$133=7.6%,-(0.0165+0.076)*F392,0)</f>
        <v>0</v>
      </c>
      <c r="I392" s="237"/>
      <c r="J392" s="614">
        <f t="shared" si="13"/>
        <v>0</v>
      </c>
      <c r="K392" s="237"/>
      <c r="L392" s="614">
        <f t="shared" si="15"/>
        <v>0</v>
      </c>
      <c r="M392" s="237"/>
      <c r="N392" s="614">
        <f t="shared" si="14"/>
        <v>0</v>
      </c>
    </row>
    <row r="393" spans="2:14">
      <c r="B393" s="793">
        <v>381</v>
      </c>
      <c r="C393" s="807"/>
      <c r="D393" s="808"/>
      <c r="E393" s="809"/>
      <c r="F393" s="810"/>
      <c r="G393" s="237"/>
      <c r="H393" s="601">
        <f>IF(Consolidado_Geral!$G$133=7.6%,-(0.0165+0.076)*F393,0)</f>
        <v>0</v>
      </c>
      <c r="I393" s="237"/>
      <c r="J393" s="614">
        <f t="shared" si="13"/>
        <v>0</v>
      </c>
      <c r="K393" s="237"/>
      <c r="L393" s="614">
        <f t="shared" si="15"/>
        <v>0</v>
      </c>
      <c r="M393" s="237"/>
      <c r="N393" s="614">
        <f t="shared" si="14"/>
        <v>0</v>
      </c>
    </row>
    <row r="394" spans="2:14">
      <c r="B394" s="793">
        <v>382</v>
      </c>
      <c r="C394" s="807"/>
      <c r="D394" s="808"/>
      <c r="E394" s="809"/>
      <c r="F394" s="810"/>
      <c r="G394" s="237"/>
      <c r="H394" s="601">
        <f>IF(Consolidado_Geral!$G$133=7.6%,-(0.0165+0.076)*F394,0)</f>
        <v>0</v>
      </c>
      <c r="I394" s="237"/>
      <c r="J394" s="614">
        <f t="shared" si="13"/>
        <v>0</v>
      </c>
      <c r="K394" s="237"/>
      <c r="L394" s="614">
        <f t="shared" si="15"/>
        <v>0</v>
      </c>
      <c r="M394" s="237"/>
      <c r="N394" s="614">
        <f t="shared" si="14"/>
        <v>0</v>
      </c>
    </row>
    <row r="395" spans="2:14">
      <c r="B395" s="793">
        <v>383</v>
      </c>
      <c r="C395" s="807"/>
      <c r="D395" s="808"/>
      <c r="E395" s="809"/>
      <c r="F395" s="810"/>
      <c r="G395" s="237"/>
      <c r="H395" s="601">
        <f>IF(Consolidado_Geral!$G$133=7.6%,-(0.0165+0.076)*F395,0)</f>
        <v>0</v>
      </c>
      <c r="I395" s="237"/>
      <c r="J395" s="614">
        <f t="shared" si="13"/>
        <v>0</v>
      </c>
      <c r="K395" s="237"/>
      <c r="L395" s="614">
        <f t="shared" si="15"/>
        <v>0</v>
      </c>
      <c r="M395" s="237"/>
      <c r="N395" s="614">
        <f t="shared" si="14"/>
        <v>0</v>
      </c>
    </row>
    <row r="396" spans="2:14">
      <c r="B396" s="793">
        <v>384</v>
      </c>
      <c r="C396" s="807"/>
      <c r="D396" s="808"/>
      <c r="E396" s="809"/>
      <c r="F396" s="810"/>
      <c r="G396" s="237"/>
      <c r="H396" s="601">
        <f>IF(Consolidado_Geral!$G$133=7.6%,-(0.0165+0.076)*F396,0)</f>
        <v>0</v>
      </c>
      <c r="I396" s="237"/>
      <c r="J396" s="614">
        <f t="shared" si="13"/>
        <v>0</v>
      </c>
      <c r="K396" s="237"/>
      <c r="L396" s="614">
        <f t="shared" si="15"/>
        <v>0</v>
      </c>
      <c r="M396" s="237"/>
      <c r="N396" s="614">
        <f t="shared" si="14"/>
        <v>0</v>
      </c>
    </row>
    <row r="397" spans="2:14">
      <c r="B397" s="793">
        <v>385</v>
      </c>
      <c r="C397" s="807"/>
      <c r="D397" s="808"/>
      <c r="E397" s="809"/>
      <c r="F397" s="810"/>
      <c r="G397" s="237"/>
      <c r="H397" s="601">
        <f>IF(Consolidado_Geral!$G$133=7.6%,-(0.0165+0.076)*F397,0)</f>
        <v>0</v>
      </c>
      <c r="I397" s="237"/>
      <c r="J397" s="614">
        <f t="shared" si="13"/>
        <v>0</v>
      </c>
      <c r="K397" s="237"/>
      <c r="L397" s="614">
        <f t="shared" ref="L397:L460" si="16">J397*E397</f>
        <v>0</v>
      </c>
      <c r="M397" s="237"/>
      <c r="N397" s="614">
        <f t="shared" si="14"/>
        <v>0</v>
      </c>
    </row>
    <row r="398" spans="2:14">
      <c r="B398" s="793">
        <v>386</v>
      </c>
      <c r="C398" s="807"/>
      <c r="D398" s="808"/>
      <c r="E398" s="809"/>
      <c r="F398" s="810"/>
      <c r="G398" s="237"/>
      <c r="H398" s="601">
        <f>IF(Consolidado_Geral!$G$133=7.6%,-(0.0165+0.076)*F398,0)</f>
        <v>0</v>
      </c>
      <c r="I398" s="237"/>
      <c r="J398" s="614">
        <f t="shared" si="13"/>
        <v>0</v>
      </c>
      <c r="K398" s="237"/>
      <c r="L398" s="614">
        <f t="shared" si="16"/>
        <v>0</v>
      </c>
      <c r="M398" s="237"/>
      <c r="N398" s="614">
        <f t="shared" si="14"/>
        <v>0</v>
      </c>
    </row>
    <row r="399" spans="2:14">
      <c r="B399" s="793">
        <v>387</v>
      </c>
      <c r="C399" s="807"/>
      <c r="D399" s="808"/>
      <c r="E399" s="809"/>
      <c r="F399" s="810"/>
      <c r="G399" s="237"/>
      <c r="H399" s="601">
        <f>IF(Consolidado_Geral!$G$133=7.6%,-(0.0165+0.076)*F399,0)</f>
        <v>0</v>
      </c>
      <c r="I399" s="237"/>
      <c r="J399" s="614">
        <f t="shared" si="13"/>
        <v>0</v>
      </c>
      <c r="K399" s="237"/>
      <c r="L399" s="614">
        <f t="shared" si="16"/>
        <v>0</v>
      </c>
      <c r="M399" s="237"/>
      <c r="N399" s="614">
        <f t="shared" si="14"/>
        <v>0</v>
      </c>
    </row>
    <row r="400" spans="2:14">
      <c r="B400" s="793">
        <v>388</v>
      </c>
      <c r="C400" s="807"/>
      <c r="D400" s="808"/>
      <c r="E400" s="809"/>
      <c r="F400" s="810"/>
      <c r="G400" s="237"/>
      <c r="H400" s="601">
        <f>IF(Consolidado_Geral!$G$133=7.6%,-(0.0165+0.076)*F400,0)</f>
        <v>0</v>
      </c>
      <c r="I400" s="237"/>
      <c r="J400" s="614">
        <f t="shared" si="13"/>
        <v>0</v>
      </c>
      <c r="K400" s="237"/>
      <c r="L400" s="614">
        <f t="shared" si="16"/>
        <v>0</v>
      </c>
      <c r="M400" s="237"/>
      <c r="N400" s="614">
        <f t="shared" si="14"/>
        <v>0</v>
      </c>
    </row>
    <row r="401" spans="2:14">
      <c r="B401" s="793">
        <v>389</v>
      </c>
      <c r="C401" s="807"/>
      <c r="D401" s="808"/>
      <c r="E401" s="809"/>
      <c r="F401" s="810"/>
      <c r="G401" s="237"/>
      <c r="H401" s="601">
        <f>IF(Consolidado_Geral!$G$133=7.6%,-(0.0165+0.076)*F401,0)</f>
        <v>0</v>
      </c>
      <c r="I401" s="237"/>
      <c r="J401" s="614">
        <f t="shared" si="13"/>
        <v>0</v>
      </c>
      <c r="K401" s="237"/>
      <c r="L401" s="614">
        <f t="shared" si="16"/>
        <v>0</v>
      </c>
      <c r="M401" s="237"/>
      <c r="N401" s="614">
        <f t="shared" si="14"/>
        <v>0</v>
      </c>
    </row>
    <row r="402" spans="2:14">
      <c r="B402" s="793">
        <v>390</v>
      </c>
      <c r="C402" s="807"/>
      <c r="D402" s="808"/>
      <c r="E402" s="809"/>
      <c r="F402" s="810"/>
      <c r="G402" s="237"/>
      <c r="H402" s="601">
        <f>IF(Consolidado_Geral!$G$133=7.6%,-(0.0165+0.076)*F402,0)</f>
        <v>0</v>
      </c>
      <c r="I402" s="237"/>
      <c r="J402" s="614">
        <f t="shared" si="13"/>
        <v>0</v>
      </c>
      <c r="K402" s="237"/>
      <c r="L402" s="614">
        <f t="shared" si="16"/>
        <v>0</v>
      </c>
      <c r="M402" s="237"/>
      <c r="N402" s="614">
        <f t="shared" si="14"/>
        <v>0</v>
      </c>
    </row>
    <row r="403" spans="2:14">
      <c r="B403" s="793">
        <v>391</v>
      </c>
      <c r="C403" s="807"/>
      <c r="D403" s="808"/>
      <c r="E403" s="809"/>
      <c r="F403" s="810"/>
      <c r="G403" s="237"/>
      <c r="H403" s="601">
        <f>IF(Consolidado_Geral!$G$133=7.6%,-(0.0165+0.076)*F403,0)</f>
        <v>0</v>
      </c>
      <c r="I403" s="237"/>
      <c r="J403" s="614">
        <f t="shared" si="13"/>
        <v>0</v>
      </c>
      <c r="K403" s="237"/>
      <c r="L403" s="614">
        <f t="shared" si="16"/>
        <v>0</v>
      </c>
      <c r="M403" s="237"/>
      <c r="N403" s="614">
        <f t="shared" si="14"/>
        <v>0</v>
      </c>
    </row>
    <row r="404" spans="2:14">
      <c r="B404" s="793">
        <v>392</v>
      </c>
      <c r="C404" s="807"/>
      <c r="D404" s="808"/>
      <c r="E404" s="809"/>
      <c r="F404" s="810"/>
      <c r="G404" s="237"/>
      <c r="H404" s="601">
        <f>IF(Consolidado_Geral!$G$133=7.6%,-(0.0165+0.076)*F404,0)</f>
        <v>0</v>
      </c>
      <c r="I404" s="237"/>
      <c r="J404" s="614">
        <f t="shared" si="13"/>
        <v>0</v>
      </c>
      <c r="K404" s="237"/>
      <c r="L404" s="614">
        <f t="shared" si="16"/>
        <v>0</v>
      </c>
      <c r="M404" s="237"/>
      <c r="N404" s="614">
        <f t="shared" si="14"/>
        <v>0</v>
      </c>
    </row>
    <row r="405" spans="2:14">
      <c r="B405" s="793">
        <v>393</v>
      </c>
      <c r="C405" s="807"/>
      <c r="D405" s="808"/>
      <c r="E405" s="809"/>
      <c r="F405" s="810"/>
      <c r="G405" s="237"/>
      <c r="H405" s="601">
        <f>IF(Consolidado_Geral!$G$133=7.6%,-(0.0165+0.076)*F405,0)</f>
        <v>0</v>
      </c>
      <c r="I405" s="237"/>
      <c r="J405" s="614">
        <f t="shared" si="13"/>
        <v>0</v>
      </c>
      <c r="K405" s="237"/>
      <c r="L405" s="614">
        <f t="shared" si="16"/>
        <v>0</v>
      </c>
      <c r="M405" s="237"/>
      <c r="N405" s="614">
        <f t="shared" si="14"/>
        <v>0</v>
      </c>
    </row>
    <row r="406" spans="2:14">
      <c r="B406" s="793">
        <v>394</v>
      </c>
      <c r="C406" s="807"/>
      <c r="D406" s="808"/>
      <c r="E406" s="809"/>
      <c r="F406" s="810"/>
      <c r="G406" s="237"/>
      <c r="H406" s="601">
        <f>IF(Consolidado_Geral!$G$133=7.6%,-(0.0165+0.076)*F406,0)</f>
        <v>0</v>
      </c>
      <c r="I406" s="237"/>
      <c r="J406" s="614">
        <f t="shared" si="13"/>
        <v>0</v>
      </c>
      <c r="K406" s="237"/>
      <c r="L406" s="614">
        <f t="shared" si="16"/>
        <v>0</v>
      </c>
      <c r="M406" s="237"/>
      <c r="N406" s="614">
        <f t="shared" si="14"/>
        <v>0</v>
      </c>
    </row>
    <row r="407" spans="2:14">
      <c r="B407" s="793">
        <v>395</v>
      </c>
      <c r="C407" s="807"/>
      <c r="D407" s="808"/>
      <c r="E407" s="809"/>
      <c r="F407" s="810"/>
      <c r="G407" s="237"/>
      <c r="H407" s="601">
        <f>IF(Consolidado_Geral!$G$133=7.6%,-(0.0165+0.076)*F407,0)</f>
        <v>0</v>
      </c>
      <c r="I407" s="237"/>
      <c r="J407" s="614">
        <f t="shared" si="13"/>
        <v>0</v>
      </c>
      <c r="K407" s="237"/>
      <c r="L407" s="614">
        <f t="shared" si="16"/>
        <v>0</v>
      </c>
      <c r="M407" s="237"/>
      <c r="N407" s="614">
        <f t="shared" si="14"/>
        <v>0</v>
      </c>
    </row>
    <row r="408" spans="2:14">
      <c r="B408" s="793">
        <v>396</v>
      </c>
      <c r="C408" s="807"/>
      <c r="D408" s="808"/>
      <c r="E408" s="809"/>
      <c r="F408" s="810"/>
      <c r="G408" s="237"/>
      <c r="H408" s="601">
        <f>IF(Consolidado_Geral!$G$133=7.6%,-(0.0165+0.076)*F408,0)</f>
        <v>0</v>
      </c>
      <c r="I408" s="237"/>
      <c r="J408" s="614">
        <f t="shared" si="13"/>
        <v>0</v>
      </c>
      <c r="K408" s="237"/>
      <c r="L408" s="614">
        <f t="shared" si="16"/>
        <v>0</v>
      </c>
      <c r="M408" s="237"/>
      <c r="N408" s="614">
        <f t="shared" si="14"/>
        <v>0</v>
      </c>
    </row>
    <row r="409" spans="2:14">
      <c r="B409" s="793">
        <v>397</v>
      </c>
      <c r="C409" s="807"/>
      <c r="D409" s="808"/>
      <c r="E409" s="809"/>
      <c r="F409" s="810"/>
      <c r="G409" s="237"/>
      <c r="H409" s="601">
        <f>IF(Consolidado_Geral!$G$133=7.6%,-(0.0165+0.076)*F409,0)</f>
        <v>0</v>
      </c>
      <c r="I409" s="237"/>
      <c r="J409" s="614">
        <f t="shared" si="13"/>
        <v>0</v>
      </c>
      <c r="K409" s="237"/>
      <c r="L409" s="614">
        <f t="shared" si="16"/>
        <v>0</v>
      </c>
      <c r="M409" s="237"/>
      <c r="N409" s="614">
        <f t="shared" si="14"/>
        <v>0</v>
      </c>
    </row>
    <row r="410" spans="2:14">
      <c r="B410" s="793">
        <v>398</v>
      </c>
      <c r="C410" s="807"/>
      <c r="D410" s="808"/>
      <c r="E410" s="809"/>
      <c r="F410" s="810"/>
      <c r="G410" s="237"/>
      <c r="H410" s="601">
        <f>IF(Consolidado_Geral!$G$133=7.6%,-(0.0165+0.076)*F410,0)</f>
        <v>0</v>
      </c>
      <c r="I410" s="237"/>
      <c r="J410" s="614">
        <f t="shared" si="13"/>
        <v>0</v>
      </c>
      <c r="K410" s="237"/>
      <c r="L410" s="614">
        <f t="shared" si="16"/>
        <v>0</v>
      </c>
      <c r="M410" s="237"/>
      <c r="N410" s="614">
        <f t="shared" si="14"/>
        <v>0</v>
      </c>
    </row>
    <row r="411" spans="2:14">
      <c r="B411" s="793">
        <v>399</v>
      </c>
      <c r="C411" s="807"/>
      <c r="D411" s="808"/>
      <c r="E411" s="809"/>
      <c r="F411" s="810"/>
      <c r="G411" s="237"/>
      <c r="H411" s="601">
        <f>IF(Consolidado_Geral!$G$133=7.6%,-(0.0165+0.076)*F411,0)</f>
        <v>0</v>
      </c>
      <c r="I411" s="237"/>
      <c r="J411" s="614">
        <f t="shared" si="13"/>
        <v>0</v>
      </c>
      <c r="K411" s="237"/>
      <c r="L411" s="614">
        <f t="shared" si="16"/>
        <v>0</v>
      </c>
      <c r="M411" s="237"/>
      <c r="N411" s="614">
        <f t="shared" si="14"/>
        <v>0</v>
      </c>
    </row>
    <row r="412" spans="2:14">
      <c r="B412" s="793">
        <v>400</v>
      </c>
      <c r="C412" s="807"/>
      <c r="D412" s="808"/>
      <c r="E412" s="809"/>
      <c r="F412" s="810"/>
      <c r="G412" s="237"/>
      <c r="H412" s="601">
        <f>IF(Consolidado_Geral!$G$133=7.6%,-(0.0165+0.076)*F412,0)</f>
        <v>0</v>
      </c>
      <c r="I412" s="237"/>
      <c r="J412" s="614">
        <f t="shared" si="13"/>
        <v>0</v>
      </c>
      <c r="K412" s="237"/>
      <c r="L412" s="614">
        <f t="shared" si="16"/>
        <v>0</v>
      </c>
      <c r="M412" s="237"/>
      <c r="N412" s="614">
        <f t="shared" si="14"/>
        <v>0</v>
      </c>
    </row>
    <row r="413" spans="2:14">
      <c r="B413" s="793">
        <v>401</v>
      </c>
      <c r="C413" s="807"/>
      <c r="D413" s="808"/>
      <c r="E413" s="809"/>
      <c r="F413" s="810"/>
      <c r="G413" s="237"/>
      <c r="H413" s="601">
        <f>IF(Consolidado_Geral!$G$133=7.6%,-(0.0165+0.076)*F413,0)</f>
        <v>0</v>
      </c>
      <c r="I413" s="237"/>
      <c r="J413" s="614">
        <f t="shared" si="13"/>
        <v>0</v>
      </c>
      <c r="K413" s="237"/>
      <c r="L413" s="614">
        <f t="shared" si="16"/>
        <v>0</v>
      </c>
      <c r="M413" s="237"/>
      <c r="N413" s="614">
        <f t="shared" si="14"/>
        <v>0</v>
      </c>
    </row>
    <row r="414" spans="2:14">
      <c r="B414" s="793">
        <v>402</v>
      </c>
      <c r="C414" s="807"/>
      <c r="D414" s="808"/>
      <c r="E414" s="809"/>
      <c r="F414" s="810"/>
      <c r="G414" s="237"/>
      <c r="H414" s="601">
        <f>IF(Consolidado_Geral!$G$133=7.6%,-(0.0165+0.076)*F414,0)</f>
        <v>0</v>
      </c>
      <c r="I414" s="237"/>
      <c r="J414" s="614">
        <f t="shared" si="13"/>
        <v>0</v>
      </c>
      <c r="K414" s="237"/>
      <c r="L414" s="614">
        <f t="shared" si="16"/>
        <v>0</v>
      </c>
      <c r="M414" s="237"/>
      <c r="N414" s="614">
        <f t="shared" si="14"/>
        <v>0</v>
      </c>
    </row>
    <row r="415" spans="2:14">
      <c r="B415" s="793">
        <v>403</v>
      </c>
      <c r="C415" s="807"/>
      <c r="D415" s="808"/>
      <c r="E415" s="809"/>
      <c r="F415" s="810"/>
      <c r="G415" s="237"/>
      <c r="H415" s="601">
        <f>IF(Consolidado_Geral!$G$133=7.6%,-(0.0165+0.076)*F415,0)</f>
        <v>0</v>
      </c>
      <c r="I415" s="237"/>
      <c r="J415" s="614">
        <f t="shared" si="13"/>
        <v>0</v>
      </c>
      <c r="K415" s="237"/>
      <c r="L415" s="614">
        <f t="shared" si="16"/>
        <v>0</v>
      </c>
      <c r="M415" s="237"/>
      <c r="N415" s="614">
        <f t="shared" si="14"/>
        <v>0</v>
      </c>
    </row>
    <row r="416" spans="2:14">
      <c r="B416" s="793">
        <v>404</v>
      </c>
      <c r="C416" s="807"/>
      <c r="D416" s="808"/>
      <c r="E416" s="809"/>
      <c r="F416" s="810"/>
      <c r="G416" s="237"/>
      <c r="H416" s="601">
        <f>IF(Consolidado_Geral!$G$133=7.6%,-(0.0165+0.076)*F416,0)</f>
        <v>0</v>
      </c>
      <c r="I416" s="237"/>
      <c r="J416" s="614">
        <f t="shared" si="13"/>
        <v>0</v>
      </c>
      <c r="K416" s="237"/>
      <c r="L416" s="614">
        <f t="shared" si="16"/>
        <v>0</v>
      </c>
      <c r="M416" s="237"/>
      <c r="N416" s="614">
        <f t="shared" si="14"/>
        <v>0</v>
      </c>
    </row>
    <row r="417" spans="2:14">
      <c r="B417" s="793">
        <v>405</v>
      </c>
      <c r="C417" s="807"/>
      <c r="D417" s="808"/>
      <c r="E417" s="809"/>
      <c r="F417" s="810"/>
      <c r="G417" s="237"/>
      <c r="H417" s="601">
        <f>IF(Consolidado_Geral!$G$133=7.6%,-(0.0165+0.076)*F417,0)</f>
        <v>0</v>
      </c>
      <c r="I417" s="237"/>
      <c r="J417" s="614">
        <f t="shared" si="13"/>
        <v>0</v>
      </c>
      <c r="K417" s="237"/>
      <c r="L417" s="614">
        <f t="shared" si="16"/>
        <v>0</v>
      </c>
      <c r="M417" s="237"/>
      <c r="N417" s="614">
        <f t="shared" si="14"/>
        <v>0</v>
      </c>
    </row>
    <row r="418" spans="2:14">
      <c r="B418" s="793">
        <v>406</v>
      </c>
      <c r="C418" s="807"/>
      <c r="D418" s="808"/>
      <c r="E418" s="809"/>
      <c r="F418" s="810"/>
      <c r="G418" s="237"/>
      <c r="H418" s="601">
        <f>IF(Consolidado_Geral!$G$133=7.6%,-(0.0165+0.076)*F418,0)</f>
        <v>0</v>
      </c>
      <c r="I418" s="237"/>
      <c r="J418" s="614">
        <f t="shared" si="13"/>
        <v>0</v>
      </c>
      <c r="K418" s="237"/>
      <c r="L418" s="614">
        <f t="shared" si="16"/>
        <v>0</v>
      </c>
      <c r="M418" s="237"/>
      <c r="N418" s="614">
        <f t="shared" si="14"/>
        <v>0</v>
      </c>
    </row>
    <row r="419" spans="2:14">
      <c r="B419" s="793">
        <v>407</v>
      </c>
      <c r="C419" s="807"/>
      <c r="D419" s="808"/>
      <c r="E419" s="809"/>
      <c r="F419" s="810"/>
      <c r="G419" s="237"/>
      <c r="H419" s="601">
        <f>IF(Consolidado_Geral!$G$133=7.6%,-(0.0165+0.076)*F419,0)</f>
        <v>0</v>
      </c>
      <c r="I419" s="237"/>
      <c r="J419" s="614">
        <f t="shared" si="13"/>
        <v>0</v>
      </c>
      <c r="K419" s="237"/>
      <c r="L419" s="614">
        <f t="shared" si="16"/>
        <v>0</v>
      </c>
      <c r="M419" s="237"/>
      <c r="N419" s="614">
        <f t="shared" si="14"/>
        <v>0</v>
      </c>
    </row>
    <row r="420" spans="2:14">
      <c r="B420" s="793">
        <v>408</v>
      </c>
      <c r="C420" s="807"/>
      <c r="D420" s="808"/>
      <c r="E420" s="809"/>
      <c r="F420" s="810"/>
      <c r="G420" s="237"/>
      <c r="H420" s="601">
        <f>IF(Consolidado_Geral!$G$133=7.6%,-(0.0165+0.076)*F420,0)</f>
        <v>0</v>
      </c>
      <c r="I420" s="237"/>
      <c r="J420" s="614">
        <f t="shared" si="13"/>
        <v>0</v>
      </c>
      <c r="K420" s="237"/>
      <c r="L420" s="614">
        <f t="shared" si="16"/>
        <v>0</v>
      </c>
      <c r="M420" s="237"/>
      <c r="N420" s="614">
        <f t="shared" si="14"/>
        <v>0</v>
      </c>
    </row>
    <row r="421" spans="2:14">
      <c r="B421" s="793">
        <v>409</v>
      </c>
      <c r="C421" s="807"/>
      <c r="D421" s="808"/>
      <c r="E421" s="809"/>
      <c r="F421" s="810"/>
      <c r="G421" s="237"/>
      <c r="H421" s="601">
        <f>IF(Consolidado_Geral!$G$133=7.6%,-(0.0165+0.076)*F421,0)</f>
        <v>0</v>
      </c>
      <c r="I421" s="237"/>
      <c r="J421" s="614">
        <f t="shared" si="13"/>
        <v>0</v>
      </c>
      <c r="K421" s="237"/>
      <c r="L421" s="614">
        <f t="shared" si="16"/>
        <v>0</v>
      </c>
      <c r="M421" s="237"/>
      <c r="N421" s="614">
        <f t="shared" si="14"/>
        <v>0</v>
      </c>
    </row>
    <row r="422" spans="2:14">
      <c r="B422" s="793">
        <v>410</v>
      </c>
      <c r="C422" s="807"/>
      <c r="D422" s="808"/>
      <c r="E422" s="809"/>
      <c r="F422" s="810"/>
      <c r="G422" s="237"/>
      <c r="H422" s="601">
        <f>IF(Consolidado_Geral!$G$133=7.6%,-(0.0165+0.076)*F422,0)</f>
        <v>0</v>
      </c>
      <c r="I422" s="237"/>
      <c r="J422" s="614">
        <f t="shared" si="13"/>
        <v>0</v>
      </c>
      <c r="K422" s="237"/>
      <c r="L422" s="614">
        <f t="shared" si="16"/>
        <v>0</v>
      </c>
      <c r="M422" s="237"/>
      <c r="N422" s="614">
        <f t="shared" si="14"/>
        <v>0</v>
      </c>
    </row>
    <row r="423" spans="2:14">
      <c r="B423" s="793">
        <v>411</v>
      </c>
      <c r="C423" s="807"/>
      <c r="D423" s="808"/>
      <c r="E423" s="809"/>
      <c r="F423" s="810"/>
      <c r="G423" s="237"/>
      <c r="H423" s="601">
        <f>IF(Consolidado_Geral!$G$133=7.6%,-(0.0165+0.076)*F423,0)</f>
        <v>0</v>
      </c>
      <c r="I423" s="237"/>
      <c r="J423" s="614">
        <f t="shared" si="13"/>
        <v>0</v>
      </c>
      <c r="K423" s="237"/>
      <c r="L423" s="614">
        <f t="shared" si="16"/>
        <v>0</v>
      </c>
      <c r="M423" s="237"/>
      <c r="N423" s="614">
        <f t="shared" si="14"/>
        <v>0</v>
      </c>
    </row>
    <row r="424" spans="2:14">
      <c r="B424" s="793">
        <v>412</v>
      </c>
      <c r="C424" s="807"/>
      <c r="D424" s="808"/>
      <c r="E424" s="809"/>
      <c r="F424" s="810"/>
      <c r="G424" s="237"/>
      <c r="H424" s="601">
        <f>IF(Consolidado_Geral!$G$133=7.6%,-(0.0165+0.076)*F424,0)</f>
        <v>0</v>
      </c>
      <c r="I424" s="237"/>
      <c r="J424" s="614">
        <f t="shared" si="13"/>
        <v>0</v>
      </c>
      <c r="K424" s="237"/>
      <c r="L424" s="614">
        <f t="shared" si="16"/>
        <v>0</v>
      </c>
      <c r="M424" s="237"/>
      <c r="N424" s="614">
        <f t="shared" si="14"/>
        <v>0</v>
      </c>
    </row>
    <row r="425" spans="2:14">
      <c r="B425" s="793">
        <v>413</v>
      </c>
      <c r="C425" s="807"/>
      <c r="D425" s="808"/>
      <c r="E425" s="809"/>
      <c r="F425" s="810"/>
      <c r="G425" s="237"/>
      <c r="H425" s="601">
        <f>IF(Consolidado_Geral!$G$133=7.6%,-(0.0165+0.076)*F425,0)</f>
        <v>0</v>
      </c>
      <c r="I425" s="237"/>
      <c r="J425" s="614">
        <f t="shared" si="13"/>
        <v>0</v>
      </c>
      <c r="K425" s="237"/>
      <c r="L425" s="614">
        <f t="shared" si="16"/>
        <v>0</v>
      </c>
      <c r="M425" s="237"/>
      <c r="N425" s="614">
        <f t="shared" si="14"/>
        <v>0</v>
      </c>
    </row>
    <row r="426" spans="2:14">
      <c r="B426" s="793">
        <v>414</v>
      </c>
      <c r="C426" s="807"/>
      <c r="D426" s="808"/>
      <c r="E426" s="809"/>
      <c r="F426" s="810"/>
      <c r="G426" s="237"/>
      <c r="H426" s="601">
        <f>IF(Consolidado_Geral!$G$133=7.6%,-(0.0165+0.076)*F426,0)</f>
        <v>0</v>
      </c>
      <c r="I426" s="237"/>
      <c r="J426" s="614">
        <f t="shared" si="13"/>
        <v>0</v>
      </c>
      <c r="K426" s="237"/>
      <c r="L426" s="614">
        <f t="shared" si="16"/>
        <v>0</v>
      </c>
      <c r="M426" s="237"/>
      <c r="N426" s="614">
        <f t="shared" si="14"/>
        <v>0</v>
      </c>
    </row>
    <row r="427" spans="2:14">
      <c r="B427" s="793">
        <v>415</v>
      </c>
      <c r="C427" s="807"/>
      <c r="D427" s="808"/>
      <c r="E427" s="809"/>
      <c r="F427" s="810"/>
      <c r="G427" s="237"/>
      <c r="H427" s="601">
        <f>IF(Consolidado_Geral!$G$133=7.6%,-(0.0165+0.076)*F427,0)</f>
        <v>0</v>
      </c>
      <c r="I427" s="237"/>
      <c r="J427" s="614">
        <f t="shared" si="13"/>
        <v>0</v>
      </c>
      <c r="K427" s="237"/>
      <c r="L427" s="614">
        <f t="shared" si="16"/>
        <v>0</v>
      </c>
      <c r="M427" s="237"/>
      <c r="N427" s="614">
        <f t="shared" si="14"/>
        <v>0</v>
      </c>
    </row>
    <row r="428" spans="2:14">
      <c r="B428" s="793">
        <v>416</v>
      </c>
      <c r="C428" s="807"/>
      <c r="D428" s="808"/>
      <c r="E428" s="809"/>
      <c r="F428" s="810"/>
      <c r="G428" s="237"/>
      <c r="H428" s="601">
        <f>IF(Consolidado_Geral!$G$133=7.6%,-(0.0165+0.076)*F428,0)</f>
        <v>0</v>
      </c>
      <c r="I428" s="237"/>
      <c r="J428" s="614">
        <f t="shared" si="13"/>
        <v>0</v>
      </c>
      <c r="K428" s="237"/>
      <c r="L428" s="614">
        <f t="shared" si="16"/>
        <v>0</v>
      </c>
      <c r="M428" s="237"/>
      <c r="N428" s="614">
        <f t="shared" si="14"/>
        <v>0</v>
      </c>
    </row>
    <row r="429" spans="2:14">
      <c r="B429" s="793">
        <v>417</v>
      </c>
      <c r="C429" s="807"/>
      <c r="D429" s="808"/>
      <c r="E429" s="809"/>
      <c r="F429" s="810"/>
      <c r="G429" s="237"/>
      <c r="H429" s="601">
        <f>IF(Consolidado_Geral!$G$133=7.6%,-(0.0165+0.076)*F429,0)</f>
        <v>0</v>
      </c>
      <c r="I429" s="237"/>
      <c r="J429" s="614">
        <f t="shared" si="13"/>
        <v>0</v>
      </c>
      <c r="K429" s="237"/>
      <c r="L429" s="614">
        <f t="shared" si="16"/>
        <v>0</v>
      </c>
      <c r="M429" s="237"/>
      <c r="N429" s="614">
        <f t="shared" si="14"/>
        <v>0</v>
      </c>
    </row>
    <row r="430" spans="2:14">
      <c r="B430" s="793">
        <v>418</v>
      </c>
      <c r="C430" s="807"/>
      <c r="D430" s="808"/>
      <c r="E430" s="809"/>
      <c r="F430" s="810"/>
      <c r="G430" s="237"/>
      <c r="H430" s="601">
        <f>IF(Consolidado_Geral!$G$133=7.6%,-(0.0165+0.076)*F430,0)</f>
        <v>0</v>
      </c>
      <c r="I430" s="237"/>
      <c r="J430" s="614">
        <f t="shared" si="13"/>
        <v>0</v>
      </c>
      <c r="K430" s="237"/>
      <c r="L430" s="614">
        <f t="shared" si="16"/>
        <v>0</v>
      </c>
      <c r="M430" s="237"/>
      <c r="N430" s="614">
        <f t="shared" si="14"/>
        <v>0</v>
      </c>
    </row>
    <row r="431" spans="2:14">
      <c r="B431" s="793">
        <v>419</v>
      </c>
      <c r="C431" s="807"/>
      <c r="D431" s="808"/>
      <c r="E431" s="809"/>
      <c r="F431" s="810"/>
      <c r="G431" s="237"/>
      <c r="H431" s="601">
        <f>IF(Consolidado_Geral!$G$133=7.6%,-(0.0165+0.076)*F431,0)</f>
        <v>0</v>
      </c>
      <c r="I431" s="237"/>
      <c r="J431" s="614">
        <f t="shared" si="13"/>
        <v>0</v>
      </c>
      <c r="K431" s="237"/>
      <c r="L431" s="614">
        <f t="shared" si="16"/>
        <v>0</v>
      </c>
      <c r="M431" s="237"/>
      <c r="N431" s="614">
        <f t="shared" si="14"/>
        <v>0</v>
      </c>
    </row>
    <row r="432" spans="2:14">
      <c r="B432" s="793">
        <v>420</v>
      </c>
      <c r="C432" s="807"/>
      <c r="D432" s="808"/>
      <c r="E432" s="809"/>
      <c r="F432" s="810"/>
      <c r="G432" s="237"/>
      <c r="H432" s="601">
        <f>IF(Consolidado_Geral!$G$133=7.6%,-(0.0165+0.076)*F432,0)</f>
        <v>0</v>
      </c>
      <c r="I432" s="237"/>
      <c r="J432" s="614">
        <f t="shared" si="13"/>
        <v>0</v>
      </c>
      <c r="K432" s="237"/>
      <c r="L432" s="614">
        <f t="shared" si="16"/>
        <v>0</v>
      </c>
      <c r="M432" s="237"/>
      <c r="N432" s="614">
        <f t="shared" si="14"/>
        <v>0</v>
      </c>
    </row>
    <row r="433" spans="2:14">
      <c r="B433" s="793">
        <v>421</v>
      </c>
      <c r="C433" s="807"/>
      <c r="D433" s="808"/>
      <c r="E433" s="809"/>
      <c r="F433" s="810"/>
      <c r="G433" s="237"/>
      <c r="H433" s="601">
        <f>IF(Consolidado_Geral!$G$133=7.6%,-(0.0165+0.076)*F433,0)</f>
        <v>0</v>
      </c>
      <c r="I433" s="237"/>
      <c r="J433" s="614">
        <f t="shared" si="13"/>
        <v>0</v>
      </c>
      <c r="K433" s="237"/>
      <c r="L433" s="614">
        <f t="shared" si="16"/>
        <v>0</v>
      </c>
      <c r="M433" s="237"/>
      <c r="N433" s="614">
        <f t="shared" si="14"/>
        <v>0</v>
      </c>
    </row>
    <row r="434" spans="2:14">
      <c r="B434" s="793">
        <v>422</v>
      </c>
      <c r="C434" s="807"/>
      <c r="D434" s="808"/>
      <c r="E434" s="809"/>
      <c r="F434" s="810"/>
      <c r="G434" s="237"/>
      <c r="H434" s="601">
        <f>IF(Consolidado_Geral!$G$133=7.6%,-(0.0165+0.076)*F434,0)</f>
        <v>0</v>
      </c>
      <c r="I434" s="237"/>
      <c r="J434" s="614">
        <f t="shared" si="13"/>
        <v>0</v>
      </c>
      <c r="K434" s="237"/>
      <c r="L434" s="614">
        <f t="shared" si="16"/>
        <v>0</v>
      </c>
      <c r="M434" s="237"/>
      <c r="N434" s="614">
        <f t="shared" si="14"/>
        <v>0</v>
      </c>
    </row>
    <row r="435" spans="2:14">
      <c r="B435" s="793">
        <v>423</v>
      </c>
      <c r="C435" s="807"/>
      <c r="D435" s="808"/>
      <c r="E435" s="809"/>
      <c r="F435" s="810"/>
      <c r="G435" s="237"/>
      <c r="H435" s="601">
        <f>IF(Consolidado_Geral!$G$133=7.6%,-(0.0165+0.076)*F435,0)</f>
        <v>0</v>
      </c>
      <c r="I435" s="237"/>
      <c r="J435" s="614">
        <f t="shared" si="13"/>
        <v>0</v>
      </c>
      <c r="K435" s="237"/>
      <c r="L435" s="614">
        <f t="shared" si="16"/>
        <v>0</v>
      </c>
      <c r="M435" s="237"/>
      <c r="N435" s="614">
        <f t="shared" si="14"/>
        <v>0</v>
      </c>
    </row>
    <row r="436" spans="2:14">
      <c r="B436" s="793">
        <v>424</v>
      </c>
      <c r="C436" s="807"/>
      <c r="D436" s="808"/>
      <c r="E436" s="809"/>
      <c r="F436" s="810"/>
      <c r="G436" s="237"/>
      <c r="H436" s="601">
        <f>IF(Consolidado_Geral!$G$133=7.6%,-(0.0165+0.076)*F436,0)</f>
        <v>0</v>
      </c>
      <c r="I436" s="237"/>
      <c r="J436" s="614">
        <f t="shared" si="13"/>
        <v>0</v>
      </c>
      <c r="K436" s="237"/>
      <c r="L436" s="614">
        <f t="shared" si="16"/>
        <v>0</v>
      </c>
      <c r="M436" s="237"/>
      <c r="N436" s="614">
        <f t="shared" si="14"/>
        <v>0</v>
      </c>
    </row>
    <row r="437" spans="2:14">
      <c r="B437" s="793">
        <v>425</v>
      </c>
      <c r="C437" s="807"/>
      <c r="D437" s="808"/>
      <c r="E437" s="809"/>
      <c r="F437" s="810"/>
      <c r="G437" s="237"/>
      <c r="H437" s="601">
        <f>IF(Consolidado_Geral!$G$133=7.6%,-(0.0165+0.076)*F437,0)</f>
        <v>0</v>
      </c>
      <c r="I437" s="237"/>
      <c r="J437" s="614">
        <f t="shared" si="13"/>
        <v>0</v>
      </c>
      <c r="K437" s="237"/>
      <c r="L437" s="614">
        <f t="shared" si="16"/>
        <v>0</v>
      </c>
      <c r="M437" s="237"/>
      <c r="N437" s="614">
        <f t="shared" si="14"/>
        <v>0</v>
      </c>
    </row>
    <row r="438" spans="2:14">
      <c r="B438" s="793">
        <v>426</v>
      </c>
      <c r="C438" s="807"/>
      <c r="D438" s="808"/>
      <c r="E438" s="809"/>
      <c r="F438" s="810"/>
      <c r="G438" s="237"/>
      <c r="H438" s="601">
        <f>IF(Consolidado_Geral!$G$133=7.6%,-(0.0165+0.076)*F438,0)</f>
        <v>0</v>
      </c>
      <c r="I438" s="237"/>
      <c r="J438" s="614">
        <f t="shared" si="13"/>
        <v>0</v>
      </c>
      <c r="K438" s="237"/>
      <c r="L438" s="614">
        <f t="shared" si="16"/>
        <v>0</v>
      </c>
      <c r="M438" s="237"/>
      <c r="N438" s="614">
        <f t="shared" si="14"/>
        <v>0</v>
      </c>
    </row>
    <row r="439" spans="2:14">
      <c r="B439" s="793">
        <v>427</v>
      </c>
      <c r="C439" s="807"/>
      <c r="D439" s="808"/>
      <c r="E439" s="809"/>
      <c r="F439" s="810"/>
      <c r="G439" s="237"/>
      <c r="H439" s="601">
        <f>IF(Consolidado_Geral!$G$133=7.6%,-(0.0165+0.076)*F439,0)</f>
        <v>0</v>
      </c>
      <c r="I439" s="237"/>
      <c r="J439" s="614">
        <f t="shared" si="13"/>
        <v>0</v>
      </c>
      <c r="K439" s="237"/>
      <c r="L439" s="614">
        <f t="shared" si="16"/>
        <v>0</v>
      </c>
      <c r="M439" s="237"/>
      <c r="N439" s="614">
        <f t="shared" si="14"/>
        <v>0</v>
      </c>
    </row>
    <row r="440" spans="2:14">
      <c r="B440" s="793">
        <v>428</v>
      </c>
      <c r="C440" s="807"/>
      <c r="D440" s="808"/>
      <c r="E440" s="809"/>
      <c r="F440" s="810"/>
      <c r="G440" s="237"/>
      <c r="H440" s="601">
        <f>IF(Consolidado_Geral!$G$133=7.6%,-(0.0165+0.076)*F440,0)</f>
        <v>0</v>
      </c>
      <c r="I440" s="237"/>
      <c r="J440" s="614">
        <f t="shared" si="13"/>
        <v>0</v>
      </c>
      <c r="K440" s="237"/>
      <c r="L440" s="614">
        <f t="shared" si="16"/>
        <v>0</v>
      </c>
      <c r="M440" s="237"/>
      <c r="N440" s="614">
        <f t="shared" si="14"/>
        <v>0</v>
      </c>
    </row>
    <row r="441" spans="2:14">
      <c r="B441" s="793">
        <v>429</v>
      </c>
      <c r="C441" s="807"/>
      <c r="D441" s="808"/>
      <c r="E441" s="809"/>
      <c r="F441" s="810"/>
      <c r="G441" s="237"/>
      <c r="H441" s="601">
        <f>IF(Consolidado_Geral!$G$133=7.6%,-(0.0165+0.076)*F441,0)</f>
        <v>0</v>
      </c>
      <c r="I441" s="237"/>
      <c r="J441" s="614">
        <f t="shared" si="13"/>
        <v>0</v>
      </c>
      <c r="K441" s="237"/>
      <c r="L441" s="614">
        <f t="shared" si="16"/>
        <v>0</v>
      </c>
      <c r="M441" s="237"/>
      <c r="N441" s="614">
        <f t="shared" si="14"/>
        <v>0</v>
      </c>
    </row>
    <row r="442" spans="2:14">
      <c r="B442" s="793">
        <v>430</v>
      </c>
      <c r="C442" s="807"/>
      <c r="D442" s="808"/>
      <c r="E442" s="809"/>
      <c r="F442" s="810"/>
      <c r="G442" s="237"/>
      <c r="H442" s="601">
        <f>IF(Consolidado_Geral!$G$133=7.6%,-(0.0165+0.076)*F442,0)</f>
        <v>0</v>
      </c>
      <c r="I442" s="237"/>
      <c r="J442" s="614">
        <f t="shared" si="13"/>
        <v>0</v>
      </c>
      <c r="K442" s="237"/>
      <c r="L442" s="614">
        <f t="shared" si="16"/>
        <v>0</v>
      </c>
      <c r="M442" s="237"/>
      <c r="N442" s="614">
        <f t="shared" si="14"/>
        <v>0</v>
      </c>
    </row>
    <row r="443" spans="2:14">
      <c r="B443" s="793">
        <v>431</v>
      </c>
      <c r="C443" s="807"/>
      <c r="D443" s="808"/>
      <c r="E443" s="809"/>
      <c r="F443" s="810"/>
      <c r="G443" s="237"/>
      <c r="H443" s="601">
        <f>IF(Consolidado_Geral!$G$133=7.6%,-(0.0165+0.076)*F443,0)</f>
        <v>0</v>
      </c>
      <c r="I443" s="237"/>
      <c r="J443" s="614">
        <f t="shared" si="13"/>
        <v>0</v>
      </c>
      <c r="K443" s="237"/>
      <c r="L443" s="614">
        <f t="shared" si="16"/>
        <v>0</v>
      </c>
      <c r="M443" s="237"/>
      <c r="N443" s="614">
        <f t="shared" si="14"/>
        <v>0</v>
      </c>
    </row>
    <row r="444" spans="2:14">
      <c r="B444" s="793">
        <v>432</v>
      </c>
      <c r="C444" s="807"/>
      <c r="D444" s="808"/>
      <c r="E444" s="809"/>
      <c r="F444" s="810"/>
      <c r="G444" s="237"/>
      <c r="H444" s="601">
        <f>IF(Consolidado_Geral!$G$133=7.6%,-(0.0165+0.076)*F444,0)</f>
        <v>0</v>
      </c>
      <c r="I444" s="237"/>
      <c r="J444" s="614">
        <f t="shared" si="13"/>
        <v>0</v>
      </c>
      <c r="K444" s="237"/>
      <c r="L444" s="614">
        <f t="shared" si="16"/>
        <v>0</v>
      </c>
      <c r="M444" s="237"/>
      <c r="N444" s="614">
        <f t="shared" si="14"/>
        <v>0</v>
      </c>
    </row>
    <row r="445" spans="2:14">
      <c r="B445" s="793">
        <v>433</v>
      </c>
      <c r="C445" s="807"/>
      <c r="D445" s="808"/>
      <c r="E445" s="809"/>
      <c r="F445" s="810"/>
      <c r="G445" s="237"/>
      <c r="H445" s="601">
        <f>IF(Consolidado_Geral!$G$133=7.6%,-(0.0165+0.076)*F445,0)</f>
        <v>0</v>
      </c>
      <c r="I445" s="237"/>
      <c r="J445" s="614">
        <f t="shared" si="13"/>
        <v>0</v>
      </c>
      <c r="K445" s="237"/>
      <c r="L445" s="614">
        <f t="shared" si="16"/>
        <v>0</v>
      </c>
      <c r="M445" s="237"/>
      <c r="N445" s="614">
        <f t="shared" si="14"/>
        <v>0</v>
      </c>
    </row>
    <row r="446" spans="2:14">
      <c r="B446" s="793">
        <v>434</v>
      </c>
      <c r="C446" s="807"/>
      <c r="D446" s="808"/>
      <c r="E446" s="809"/>
      <c r="F446" s="810"/>
      <c r="G446" s="237"/>
      <c r="H446" s="601">
        <f>IF(Consolidado_Geral!$G$133=7.6%,-(0.0165+0.076)*F446,0)</f>
        <v>0</v>
      </c>
      <c r="I446" s="237"/>
      <c r="J446" s="614">
        <f t="shared" si="13"/>
        <v>0</v>
      </c>
      <c r="K446" s="237"/>
      <c r="L446" s="614">
        <f t="shared" si="16"/>
        <v>0</v>
      </c>
      <c r="M446" s="237"/>
      <c r="N446" s="614">
        <f t="shared" si="14"/>
        <v>0</v>
      </c>
    </row>
    <row r="447" spans="2:14">
      <c r="B447" s="793">
        <v>435</v>
      </c>
      <c r="C447" s="807"/>
      <c r="D447" s="808"/>
      <c r="E447" s="809"/>
      <c r="F447" s="810"/>
      <c r="G447" s="237"/>
      <c r="H447" s="601">
        <f>IF(Consolidado_Geral!$G$133=7.6%,-(0.0165+0.076)*F447,0)</f>
        <v>0</v>
      </c>
      <c r="I447" s="237"/>
      <c r="J447" s="614">
        <f t="shared" si="13"/>
        <v>0</v>
      </c>
      <c r="K447" s="237"/>
      <c r="L447" s="614">
        <f t="shared" si="16"/>
        <v>0</v>
      </c>
      <c r="M447" s="237"/>
      <c r="N447" s="614">
        <f t="shared" si="14"/>
        <v>0</v>
      </c>
    </row>
    <row r="448" spans="2:14">
      <c r="B448" s="793">
        <v>436</v>
      </c>
      <c r="C448" s="807"/>
      <c r="D448" s="808"/>
      <c r="E448" s="809"/>
      <c r="F448" s="810"/>
      <c r="G448" s="237"/>
      <c r="H448" s="601">
        <f>IF(Consolidado_Geral!$G$133=7.6%,-(0.0165+0.076)*F448,0)</f>
        <v>0</v>
      </c>
      <c r="I448" s="237"/>
      <c r="J448" s="614">
        <f t="shared" si="13"/>
        <v>0</v>
      </c>
      <c r="K448" s="237"/>
      <c r="L448" s="614">
        <f t="shared" si="16"/>
        <v>0</v>
      </c>
      <c r="M448" s="237"/>
      <c r="N448" s="614">
        <f t="shared" si="14"/>
        <v>0</v>
      </c>
    </row>
    <row r="449" spans="2:14">
      <c r="B449" s="793">
        <v>437</v>
      </c>
      <c r="C449" s="807"/>
      <c r="D449" s="808"/>
      <c r="E449" s="809"/>
      <c r="F449" s="810"/>
      <c r="G449" s="237"/>
      <c r="H449" s="601">
        <f>IF(Consolidado_Geral!$G$133=7.6%,-(0.0165+0.076)*F449,0)</f>
        <v>0</v>
      </c>
      <c r="I449" s="237"/>
      <c r="J449" s="614">
        <f t="shared" si="13"/>
        <v>0</v>
      </c>
      <c r="K449" s="237"/>
      <c r="L449" s="614">
        <f t="shared" si="16"/>
        <v>0</v>
      </c>
      <c r="M449" s="237"/>
      <c r="N449" s="614">
        <f t="shared" si="14"/>
        <v>0</v>
      </c>
    </row>
    <row r="450" spans="2:14">
      <c r="B450" s="793">
        <v>438</v>
      </c>
      <c r="C450" s="807"/>
      <c r="D450" s="808"/>
      <c r="E450" s="809"/>
      <c r="F450" s="810"/>
      <c r="G450" s="237"/>
      <c r="H450" s="601">
        <f>IF(Consolidado_Geral!$G$133=7.6%,-(0.0165+0.076)*F450,0)</f>
        <v>0</v>
      </c>
      <c r="I450" s="237"/>
      <c r="J450" s="614">
        <f t="shared" si="13"/>
        <v>0</v>
      </c>
      <c r="K450" s="237"/>
      <c r="L450" s="614">
        <f t="shared" si="16"/>
        <v>0</v>
      </c>
      <c r="M450" s="237"/>
      <c r="N450" s="614">
        <f t="shared" si="14"/>
        <v>0</v>
      </c>
    </row>
    <row r="451" spans="2:14">
      <c r="B451" s="793">
        <v>439</v>
      </c>
      <c r="C451" s="807"/>
      <c r="D451" s="808"/>
      <c r="E451" s="809"/>
      <c r="F451" s="810"/>
      <c r="G451" s="237"/>
      <c r="H451" s="601">
        <f>IF(Consolidado_Geral!$G$133=7.6%,-(0.0165+0.076)*F451,0)</f>
        <v>0</v>
      </c>
      <c r="I451" s="237"/>
      <c r="J451" s="614">
        <f t="shared" si="13"/>
        <v>0</v>
      </c>
      <c r="K451" s="237"/>
      <c r="L451" s="614">
        <f t="shared" si="16"/>
        <v>0</v>
      </c>
      <c r="M451" s="237"/>
      <c r="N451" s="614">
        <f t="shared" si="14"/>
        <v>0</v>
      </c>
    </row>
    <row r="452" spans="2:14">
      <c r="B452" s="793">
        <v>440</v>
      </c>
      <c r="C452" s="807"/>
      <c r="D452" s="808"/>
      <c r="E452" s="809"/>
      <c r="F452" s="810"/>
      <c r="G452" s="237"/>
      <c r="H452" s="601">
        <f>IF(Consolidado_Geral!$G$133=7.6%,-(0.0165+0.076)*F452,0)</f>
        <v>0</v>
      </c>
      <c r="I452" s="237"/>
      <c r="J452" s="614">
        <f t="shared" si="13"/>
        <v>0</v>
      </c>
      <c r="K452" s="237"/>
      <c r="L452" s="614">
        <f t="shared" si="16"/>
        <v>0</v>
      </c>
      <c r="M452" s="237"/>
      <c r="N452" s="614">
        <f t="shared" si="14"/>
        <v>0</v>
      </c>
    </row>
    <row r="453" spans="2:14">
      <c r="B453" s="793">
        <v>441</v>
      </c>
      <c r="C453" s="807"/>
      <c r="D453" s="808"/>
      <c r="E453" s="809"/>
      <c r="F453" s="810"/>
      <c r="G453" s="237"/>
      <c r="H453" s="601">
        <f>IF(Consolidado_Geral!$G$133=7.6%,-(0.0165+0.076)*F453,0)</f>
        <v>0</v>
      </c>
      <c r="I453" s="237"/>
      <c r="J453" s="614">
        <f t="shared" si="13"/>
        <v>0</v>
      </c>
      <c r="K453" s="237"/>
      <c r="L453" s="614">
        <f t="shared" si="16"/>
        <v>0</v>
      </c>
      <c r="M453" s="237"/>
      <c r="N453" s="614">
        <f t="shared" si="14"/>
        <v>0</v>
      </c>
    </row>
    <row r="454" spans="2:14">
      <c r="B454" s="793">
        <v>442</v>
      </c>
      <c r="C454" s="807"/>
      <c r="D454" s="808"/>
      <c r="E454" s="809"/>
      <c r="F454" s="810"/>
      <c r="G454" s="237"/>
      <c r="H454" s="601">
        <f>IF(Consolidado_Geral!$G$133=7.6%,-(0.0165+0.076)*F454,0)</f>
        <v>0</v>
      </c>
      <c r="I454" s="237"/>
      <c r="J454" s="614">
        <f t="shared" si="13"/>
        <v>0</v>
      </c>
      <c r="K454" s="237"/>
      <c r="L454" s="614">
        <f t="shared" si="16"/>
        <v>0</v>
      </c>
      <c r="M454" s="237"/>
      <c r="N454" s="614">
        <f t="shared" si="14"/>
        <v>0</v>
      </c>
    </row>
    <row r="455" spans="2:14">
      <c r="B455" s="793">
        <v>443</v>
      </c>
      <c r="C455" s="807"/>
      <c r="D455" s="808"/>
      <c r="E455" s="809"/>
      <c r="F455" s="810"/>
      <c r="G455" s="237"/>
      <c r="H455" s="601">
        <f>IF(Consolidado_Geral!$G$133=7.6%,-(0.0165+0.076)*F455,0)</f>
        <v>0</v>
      </c>
      <c r="I455" s="237"/>
      <c r="J455" s="614">
        <f t="shared" si="13"/>
        <v>0</v>
      </c>
      <c r="K455" s="237"/>
      <c r="L455" s="614">
        <f t="shared" si="16"/>
        <v>0</v>
      </c>
      <c r="M455" s="237"/>
      <c r="N455" s="614">
        <f t="shared" si="14"/>
        <v>0</v>
      </c>
    </row>
    <row r="456" spans="2:14">
      <c r="B456" s="793">
        <v>444</v>
      </c>
      <c r="C456" s="807"/>
      <c r="D456" s="808"/>
      <c r="E456" s="809"/>
      <c r="F456" s="810"/>
      <c r="G456" s="237"/>
      <c r="H456" s="601">
        <f>IF(Consolidado_Geral!$G$133=7.6%,-(0.0165+0.076)*F456,0)</f>
        <v>0</v>
      </c>
      <c r="I456" s="237"/>
      <c r="J456" s="614">
        <f t="shared" si="13"/>
        <v>0</v>
      </c>
      <c r="K456" s="237"/>
      <c r="L456" s="614">
        <f t="shared" si="16"/>
        <v>0</v>
      </c>
      <c r="M456" s="237"/>
      <c r="N456" s="614">
        <f t="shared" si="14"/>
        <v>0</v>
      </c>
    </row>
    <row r="457" spans="2:14">
      <c r="B457" s="793">
        <v>445</v>
      </c>
      <c r="C457" s="807"/>
      <c r="D457" s="808"/>
      <c r="E457" s="809"/>
      <c r="F457" s="810"/>
      <c r="G457" s="237"/>
      <c r="H457" s="601">
        <f>IF(Consolidado_Geral!$G$133=7.6%,-(0.0165+0.076)*F457,0)</f>
        <v>0</v>
      </c>
      <c r="I457" s="237"/>
      <c r="J457" s="614">
        <f t="shared" si="13"/>
        <v>0</v>
      </c>
      <c r="K457" s="237"/>
      <c r="L457" s="614">
        <f t="shared" si="16"/>
        <v>0</v>
      </c>
      <c r="M457" s="237"/>
      <c r="N457" s="614">
        <f t="shared" si="14"/>
        <v>0</v>
      </c>
    </row>
    <row r="458" spans="2:14">
      <c r="B458" s="793">
        <v>446</v>
      </c>
      <c r="C458" s="807"/>
      <c r="D458" s="808"/>
      <c r="E458" s="809"/>
      <c r="F458" s="810"/>
      <c r="G458" s="237"/>
      <c r="H458" s="601">
        <f>IF(Consolidado_Geral!$G$133=7.6%,-(0.0165+0.076)*F458,0)</f>
        <v>0</v>
      </c>
      <c r="I458" s="237"/>
      <c r="J458" s="614">
        <f t="shared" si="13"/>
        <v>0</v>
      </c>
      <c r="K458" s="237"/>
      <c r="L458" s="614">
        <f t="shared" si="16"/>
        <v>0</v>
      </c>
      <c r="M458" s="237"/>
      <c r="N458" s="614">
        <f t="shared" si="14"/>
        <v>0</v>
      </c>
    </row>
    <row r="459" spans="2:14">
      <c r="B459" s="793">
        <v>447</v>
      </c>
      <c r="C459" s="807"/>
      <c r="D459" s="808"/>
      <c r="E459" s="809"/>
      <c r="F459" s="810"/>
      <c r="G459" s="237"/>
      <c r="H459" s="601">
        <f>IF(Consolidado_Geral!$G$133=7.6%,-(0.0165+0.076)*F459,0)</f>
        <v>0</v>
      </c>
      <c r="I459" s="237"/>
      <c r="J459" s="614">
        <f t="shared" si="13"/>
        <v>0</v>
      </c>
      <c r="K459" s="237"/>
      <c r="L459" s="614">
        <f t="shared" si="16"/>
        <v>0</v>
      </c>
      <c r="M459" s="237"/>
      <c r="N459" s="614">
        <f t="shared" si="14"/>
        <v>0</v>
      </c>
    </row>
    <row r="460" spans="2:14">
      <c r="B460" s="793">
        <v>448</v>
      </c>
      <c r="C460" s="807"/>
      <c r="D460" s="808"/>
      <c r="E460" s="809"/>
      <c r="F460" s="810"/>
      <c r="G460" s="237"/>
      <c r="H460" s="601">
        <f>IF(Consolidado_Geral!$G$133=7.6%,-(0.0165+0.076)*F460,0)</f>
        <v>0</v>
      </c>
      <c r="I460" s="237"/>
      <c r="J460" s="614">
        <f t="shared" si="13"/>
        <v>0</v>
      </c>
      <c r="K460" s="237"/>
      <c r="L460" s="614">
        <f t="shared" si="16"/>
        <v>0</v>
      </c>
      <c r="M460" s="237"/>
      <c r="N460" s="614">
        <f t="shared" si="14"/>
        <v>0</v>
      </c>
    </row>
    <row r="461" spans="2:14">
      <c r="B461" s="793">
        <v>449</v>
      </c>
      <c r="C461" s="807"/>
      <c r="D461" s="808"/>
      <c r="E461" s="809"/>
      <c r="F461" s="810"/>
      <c r="G461" s="237"/>
      <c r="H461" s="601">
        <f>IF(Consolidado_Geral!$G$133=7.6%,-(0.0165+0.076)*F461,0)</f>
        <v>0</v>
      </c>
      <c r="I461" s="237"/>
      <c r="J461" s="614">
        <f t="shared" si="13"/>
        <v>0</v>
      </c>
      <c r="K461" s="237"/>
      <c r="L461" s="614">
        <f t="shared" ref="L461:L524" si="17">J461*E461</f>
        <v>0</v>
      </c>
      <c r="M461" s="237"/>
      <c r="N461" s="614">
        <f t="shared" si="14"/>
        <v>0</v>
      </c>
    </row>
    <row r="462" spans="2:14">
      <c r="B462" s="793">
        <v>450</v>
      </c>
      <c r="C462" s="807"/>
      <c r="D462" s="808"/>
      <c r="E462" s="809"/>
      <c r="F462" s="810"/>
      <c r="G462" s="237"/>
      <c r="H462" s="601">
        <f>IF(Consolidado_Geral!$G$133=7.6%,-(0.0165+0.076)*F462,0)</f>
        <v>0</v>
      </c>
      <c r="I462" s="237"/>
      <c r="J462" s="614">
        <f t="shared" si="13"/>
        <v>0</v>
      </c>
      <c r="K462" s="237"/>
      <c r="L462" s="614">
        <f t="shared" si="17"/>
        <v>0</v>
      </c>
      <c r="M462" s="237"/>
      <c r="N462" s="614">
        <f t="shared" si="14"/>
        <v>0</v>
      </c>
    </row>
    <row r="463" spans="2:14">
      <c r="B463" s="793">
        <v>451</v>
      </c>
      <c r="C463" s="807"/>
      <c r="D463" s="808"/>
      <c r="E463" s="809"/>
      <c r="F463" s="810"/>
      <c r="G463" s="237"/>
      <c r="H463" s="601">
        <f>IF(Consolidado_Geral!$G$133=7.6%,-(0.0165+0.076)*F463,0)</f>
        <v>0</v>
      </c>
      <c r="I463" s="237"/>
      <c r="J463" s="614">
        <f t="shared" si="13"/>
        <v>0</v>
      </c>
      <c r="K463" s="237"/>
      <c r="L463" s="614">
        <f t="shared" si="17"/>
        <v>0</v>
      </c>
      <c r="M463" s="237"/>
      <c r="N463" s="614">
        <f t="shared" si="14"/>
        <v>0</v>
      </c>
    </row>
    <row r="464" spans="2:14">
      <c r="B464" s="793">
        <v>452</v>
      </c>
      <c r="C464" s="807"/>
      <c r="D464" s="808"/>
      <c r="E464" s="809"/>
      <c r="F464" s="810"/>
      <c r="G464" s="237"/>
      <c r="H464" s="601">
        <f>IF(Consolidado_Geral!$G$133=7.6%,-(0.0165+0.076)*F464,0)</f>
        <v>0</v>
      </c>
      <c r="I464" s="237"/>
      <c r="J464" s="614">
        <f t="shared" si="13"/>
        <v>0</v>
      </c>
      <c r="K464" s="237"/>
      <c r="L464" s="614">
        <f t="shared" si="17"/>
        <v>0</v>
      </c>
      <c r="M464" s="237"/>
      <c r="N464" s="614">
        <f t="shared" si="14"/>
        <v>0</v>
      </c>
    </row>
    <row r="465" spans="2:14">
      <c r="B465" s="793">
        <v>453</v>
      </c>
      <c r="C465" s="807"/>
      <c r="D465" s="808"/>
      <c r="E465" s="809"/>
      <c r="F465" s="810"/>
      <c r="G465" s="237"/>
      <c r="H465" s="601">
        <f>IF(Consolidado_Geral!$G$133=7.6%,-(0.0165+0.076)*F465,0)</f>
        <v>0</v>
      </c>
      <c r="I465" s="237"/>
      <c r="J465" s="614">
        <f t="shared" si="13"/>
        <v>0</v>
      </c>
      <c r="K465" s="237"/>
      <c r="L465" s="614">
        <f t="shared" si="17"/>
        <v>0</v>
      </c>
      <c r="M465" s="237"/>
      <c r="N465" s="614">
        <f t="shared" si="14"/>
        <v>0</v>
      </c>
    </row>
    <row r="466" spans="2:14">
      <c r="B466" s="793">
        <v>454</v>
      </c>
      <c r="C466" s="807"/>
      <c r="D466" s="808"/>
      <c r="E466" s="809"/>
      <c r="F466" s="810"/>
      <c r="G466" s="237"/>
      <c r="H466" s="601">
        <f>IF(Consolidado_Geral!$G$133=7.6%,-(0.0165+0.076)*F466,0)</f>
        <v>0</v>
      </c>
      <c r="I466" s="237"/>
      <c r="J466" s="614">
        <f t="shared" si="13"/>
        <v>0</v>
      </c>
      <c r="K466" s="237"/>
      <c r="L466" s="614">
        <f t="shared" si="17"/>
        <v>0</v>
      </c>
      <c r="M466" s="237"/>
      <c r="N466" s="614">
        <f t="shared" si="14"/>
        <v>0</v>
      </c>
    </row>
    <row r="467" spans="2:14">
      <c r="B467" s="793">
        <v>455</v>
      </c>
      <c r="C467" s="807"/>
      <c r="D467" s="808"/>
      <c r="E467" s="809"/>
      <c r="F467" s="810"/>
      <c r="G467" s="237"/>
      <c r="H467" s="601">
        <f>IF(Consolidado_Geral!$G$133=7.6%,-(0.0165+0.076)*F467,0)</f>
        <v>0</v>
      </c>
      <c r="I467" s="237"/>
      <c r="J467" s="614">
        <f t="shared" si="13"/>
        <v>0</v>
      </c>
      <c r="K467" s="237"/>
      <c r="L467" s="614">
        <f t="shared" si="17"/>
        <v>0</v>
      </c>
      <c r="M467" s="237"/>
      <c r="N467" s="614">
        <f t="shared" si="14"/>
        <v>0</v>
      </c>
    </row>
    <row r="468" spans="2:14">
      <c r="B468" s="793">
        <v>456</v>
      </c>
      <c r="C468" s="807"/>
      <c r="D468" s="808"/>
      <c r="E468" s="809"/>
      <c r="F468" s="810"/>
      <c r="G468" s="237"/>
      <c r="H468" s="601">
        <f>IF(Consolidado_Geral!$G$133=7.6%,-(0.0165+0.076)*F468,0)</f>
        <v>0</v>
      </c>
      <c r="I468" s="237"/>
      <c r="J468" s="614">
        <f t="shared" si="13"/>
        <v>0</v>
      </c>
      <c r="K468" s="237"/>
      <c r="L468" s="614">
        <f t="shared" si="17"/>
        <v>0</v>
      </c>
      <c r="M468" s="237"/>
      <c r="N468" s="614">
        <f t="shared" si="14"/>
        <v>0</v>
      </c>
    </row>
    <row r="469" spans="2:14">
      <c r="B469" s="793">
        <v>457</v>
      </c>
      <c r="C469" s="807"/>
      <c r="D469" s="808"/>
      <c r="E469" s="809"/>
      <c r="F469" s="810"/>
      <c r="G469" s="237"/>
      <c r="H469" s="601">
        <f>IF(Consolidado_Geral!$G$133=7.6%,-(0.0165+0.076)*F469,0)</f>
        <v>0</v>
      </c>
      <c r="I469" s="237"/>
      <c r="J469" s="614">
        <f t="shared" si="13"/>
        <v>0</v>
      </c>
      <c r="K469" s="237"/>
      <c r="L469" s="614">
        <f t="shared" si="17"/>
        <v>0</v>
      </c>
      <c r="M469" s="237"/>
      <c r="N469" s="614">
        <f t="shared" si="14"/>
        <v>0</v>
      </c>
    </row>
    <row r="470" spans="2:14">
      <c r="B470" s="793">
        <v>458</v>
      </c>
      <c r="C470" s="807"/>
      <c r="D470" s="808"/>
      <c r="E470" s="809"/>
      <c r="F470" s="810"/>
      <c r="G470" s="237"/>
      <c r="H470" s="601">
        <f>IF(Consolidado_Geral!$G$133=7.6%,-(0.0165+0.076)*F470,0)</f>
        <v>0</v>
      </c>
      <c r="I470" s="237"/>
      <c r="J470" s="614">
        <f t="shared" si="13"/>
        <v>0</v>
      </c>
      <c r="K470" s="237"/>
      <c r="L470" s="614">
        <f t="shared" si="17"/>
        <v>0</v>
      </c>
      <c r="M470" s="237"/>
      <c r="N470" s="614">
        <f t="shared" si="14"/>
        <v>0</v>
      </c>
    </row>
    <row r="471" spans="2:14">
      <c r="B471" s="793">
        <v>459</v>
      </c>
      <c r="C471" s="807"/>
      <c r="D471" s="808"/>
      <c r="E471" s="809"/>
      <c r="F471" s="810"/>
      <c r="G471" s="237"/>
      <c r="H471" s="601">
        <f>IF(Consolidado_Geral!$G$133=7.6%,-(0.0165+0.076)*F471,0)</f>
        <v>0</v>
      </c>
      <c r="I471" s="237"/>
      <c r="J471" s="614">
        <f t="shared" si="13"/>
        <v>0</v>
      </c>
      <c r="K471" s="237"/>
      <c r="L471" s="614">
        <f t="shared" si="17"/>
        <v>0</v>
      </c>
      <c r="M471" s="237"/>
      <c r="N471" s="614">
        <f t="shared" si="14"/>
        <v>0</v>
      </c>
    </row>
    <row r="472" spans="2:14">
      <c r="B472" s="793">
        <v>460</v>
      </c>
      <c r="C472" s="807"/>
      <c r="D472" s="808"/>
      <c r="E472" s="809"/>
      <c r="F472" s="810"/>
      <c r="G472" s="237"/>
      <c r="H472" s="601">
        <f>IF(Consolidado_Geral!$G$133=7.6%,-(0.0165+0.076)*F472,0)</f>
        <v>0</v>
      </c>
      <c r="I472" s="237"/>
      <c r="J472" s="614">
        <f t="shared" si="13"/>
        <v>0</v>
      </c>
      <c r="K472" s="237"/>
      <c r="L472" s="614">
        <f t="shared" si="17"/>
        <v>0</v>
      </c>
      <c r="M472" s="237"/>
      <c r="N472" s="614">
        <f t="shared" si="14"/>
        <v>0</v>
      </c>
    </row>
    <row r="473" spans="2:14">
      <c r="B473" s="793">
        <v>461</v>
      </c>
      <c r="C473" s="807"/>
      <c r="D473" s="808"/>
      <c r="E473" s="809"/>
      <c r="F473" s="810"/>
      <c r="G473" s="237"/>
      <c r="H473" s="601">
        <f>IF(Consolidado_Geral!$G$133=7.6%,-(0.0165+0.076)*F473,0)</f>
        <v>0</v>
      </c>
      <c r="I473" s="237"/>
      <c r="J473" s="614">
        <f t="shared" si="13"/>
        <v>0</v>
      </c>
      <c r="K473" s="237"/>
      <c r="L473" s="614">
        <f t="shared" si="17"/>
        <v>0</v>
      </c>
      <c r="M473" s="237"/>
      <c r="N473" s="614">
        <f t="shared" si="14"/>
        <v>0</v>
      </c>
    </row>
    <row r="474" spans="2:14">
      <c r="B474" s="793">
        <v>462</v>
      </c>
      <c r="C474" s="807"/>
      <c r="D474" s="808"/>
      <c r="E474" s="809"/>
      <c r="F474" s="810"/>
      <c r="G474" s="237"/>
      <c r="H474" s="601">
        <f>IF(Consolidado_Geral!$G$133=7.6%,-(0.0165+0.076)*F474,0)</f>
        <v>0</v>
      </c>
      <c r="I474" s="237"/>
      <c r="J474" s="614">
        <f t="shared" si="13"/>
        <v>0</v>
      </c>
      <c r="K474" s="237"/>
      <c r="L474" s="614">
        <f t="shared" si="17"/>
        <v>0</v>
      </c>
      <c r="M474" s="237"/>
      <c r="N474" s="614">
        <f t="shared" si="14"/>
        <v>0</v>
      </c>
    </row>
    <row r="475" spans="2:14">
      <c r="B475" s="793">
        <v>463</v>
      </c>
      <c r="C475" s="807"/>
      <c r="D475" s="808"/>
      <c r="E475" s="809"/>
      <c r="F475" s="810"/>
      <c r="G475" s="237"/>
      <c r="H475" s="601">
        <f>IF(Consolidado_Geral!$G$133=7.6%,-(0.0165+0.076)*F475,0)</f>
        <v>0</v>
      </c>
      <c r="I475" s="237"/>
      <c r="J475" s="614">
        <f t="shared" si="13"/>
        <v>0</v>
      </c>
      <c r="K475" s="237"/>
      <c r="L475" s="614">
        <f t="shared" si="17"/>
        <v>0</v>
      </c>
      <c r="M475" s="237"/>
      <c r="N475" s="614">
        <f t="shared" si="14"/>
        <v>0</v>
      </c>
    </row>
    <row r="476" spans="2:14">
      <c r="B476" s="793">
        <v>464</v>
      </c>
      <c r="C476" s="807"/>
      <c r="D476" s="808"/>
      <c r="E476" s="809"/>
      <c r="F476" s="810"/>
      <c r="G476" s="237"/>
      <c r="H476" s="601">
        <f>IF(Consolidado_Geral!$G$133=7.6%,-(0.0165+0.076)*F476,0)</f>
        <v>0</v>
      </c>
      <c r="I476" s="237"/>
      <c r="J476" s="614">
        <f t="shared" si="13"/>
        <v>0</v>
      </c>
      <c r="K476" s="237"/>
      <c r="L476" s="614">
        <f t="shared" si="17"/>
        <v>0</v>
      </c>
      <c r="M476" s="237"/>
      <c r="N476" s="614">
        <f t="shared" si="14"/>
        <v>0</v>
      </c>
    </row>
    <row r="477" spans="2:14">
      <c r="B477" s="793">
        <v>465</v>
      </c>
      <c r="C477" s="807"/>
      <c r="D477" s="808"/>
      <c r="E477" s="809"/>
      <c r="F477" s="810"/>
      <c r="G477" s="237"/>
      <c r="H477" s="601">
        <f>IF(Consolidado_Geral!$G$133=7.6%,-(0.0165+0.076)*F477,0)</f>
        <v>0</v>
      </c>
      <c r="I477" s="237"/>
      <c r="J477" s="614">
        <f t="shared" si="13"/>
        <v>0</v>
      </c>
      <c r="K477" s="237"/>
      <c r="L477" s="614">
        <f t="shared" si="17"/>
        <v>0</v>
      </c>
      <c r="M477" s="237"/>
      <c r="N477" s="614">
        <f t="shared" si="14"/>
        <v>0</v>
      </c>
    </row>
    <row r="478" spans="2:14">
      <c r="B478" s="793">
        <v>466</v>
      </c>
      <c r="C478" s="807"/>
      <c r="D478" s="808"/>
      <c r="E478" s="809"/>
      <c r="F478" s="810"/>
      <c r="G478" s="237"/>
      <c r="H478" s="601">
        <f>IF(Consolidado_Geral!$G$133=7.6%,-(0.0165+0.076)*F478,0)</f>
        <v>0</v>
      </c>
      <c r="I478" s="237"/>
      <c r="J478" s="614">
        <f t="shared" si="13"/>
        <v>0</v>
      </c>
      <c r="K478" s="237"/>
      <c r="L478" s="614">
        <f t="shared" si="17"/>
        <v>0</v>
      </c>
      <c r="M478" s="237"/>
      <c r="N478" s="614">
        <f t="shared" si="14"/>
        <v>0</v>
      </c>
    </row>
    <row r="479" spans="2:14">
      <c r="B479" s="793">
        <v>467</v>
      </c>
      <c r="C479" s="807"/>
      <c r="D479" s="808"/>
      <c r="E479" s="809"/>
      <c r="F479" s="810"/>
      <c r="G479" s="237"/>
      <c r="H479" s="601">
        <f>IF(Consolidado_Geral!$G$133=7.6%,-(0.0165+0.076)*F479,0)</f>
        <v>0</v>
      </c>
      <c r="I479" s="237"/>
      <c r="J479" s="614">
        <f t="shared" si="13"/>
        <v>0</v>
      </c>
      <c r="K479" s="237"/>
      <c r="L479" s="614">
        <f t="shared" si="17"/>
        <v>0</v>
      </c>
      <c r="M479" s="237"/>
      <c r="N479" s="614">
        <f t="shared" si="14"/>
        <v>0</v>
      </c>
    </row>
    <row r="480" spans="2:14">
      <c r="B480" s="793">
        <v>468</v>
      </c>
      <c r="C480" s="807"/>
      <c r="D480" s="808"/>
      <c r="E480" s="809"/>
      <c r="F480" s="810"/>
      <c r="G480" s="237"/>
      <c r="H480" s="601">
        <f>IF(Consolidado_Geral!$G$133=7.6%,-(0.0165+0.076)*F480,0)</f>
        <v>0</v>
      </c>
      <c r="I480" s="237"/>
      <c r="J480" s="614">
        <f t="shared" si="13"/>
        <v>0</v>
      </c>
      <c r="K480" s="237"/>
      <c r="L480" s="614">
        <f t="shared" si="17"/>
        <v>0</v>
      </c>
      <c r="M480" s="237"/>
      <c r="N480" s="614">
        <f t="shared" si="14"/>
        <v>0</v>
      </c>
    </row>
    <row r="481" spans="2:14">
      <c r="B481" s="793">
        <v>469</v>
      </c>
      <c r="C481" s="807"/>
      <c r="D481" s="808"/>
      <c r="E481" s="809"/>
      <c r="F481" s="810"/>
      <c r="G481" s="237"/>
      <c r="H481" s="601">
        <f>IF(Consolidado_Geral!$G$133=7.6%,-(0.0165+0.076)*F481,0)</f>
        <v>0</v>
      </c>
      <c r="I481" s="237"/>
      <c r="J481" s="614">
        <f t="shared" si="13"/>
        <v>0</v>
      </c>
      <c r="K481" s="237"/>
      <c r="L481" s="614">
        <f t="shared" si="17"/>
        <v>0</v>
      </c>
      <c r="M481" s="237"/>
      <c r="N481" s="614">
        <f t="shared" si="14"/>
        <v>0</v>
      </c>
    </row>
    <row r="482" spans="2:14">
      <c r="B482" s="793">
        <v>470</v>
      </c>
      <c r="C482" s="807"/>
      <c r="D482" s="808"/>
      <c r="E482" s="809"/>
      <c r="F482" s="810"/>
      <c r="G482" s="237"/>
      <c r="H482" s="601">
        <f>IF(Consolidado_Geral!$G$133=7.6%,-(0.0165+0.076)*F482,0)</f>
        <v>0</v>
      </c>
      <c r="I482" s="237"/>
      <c r="J482" s="614">
        <f t="shared" si="13"/>
        <v>0</v>
      </c>
      <c r="K482" s="237"/>
      <c r="L482" s="614">
        <f t="shared" si="17"/>
        <v>0</v>
      </c>
      <c r="M482" s="237"/>
      <c r="N482" s="614">
        <f t="shared" si="14"/>
        <v>0</v>
      </c>
    </row>
    <row r="483" spans="2:14">
      <c r="B483" s="793">
        <v>471</v>
      </c>
      <c r="C483" s="807"/>
      <c r="D483" s="808"/>
      <c r="E483" s="809"/>
      <c r="F483" s="810"/>
      <c r="G483" s="237"/>
      <c r="H483" s="601">
        <f>IF(Consolidado_Geral!$G$133=7.6%,-(0.0165+0.076)*F483,0)</f>
        <v>0</v>
      </c>
      <c r="I483" s="237"/>
      <c r="J483" s="614">
        <f t="shared" si="13"/>
        <v>0</v>
      </c>
      <c r="K483" s="237"/>
      <c r="L483" s="614">
        <f t="shared" si="17"/>
        <v>0</v>
      </c>
      <c r="M483" s="237"/>
      <c r="N483" s="614">
        <f t="shared" si="14"/>
        <v>0</v>
      </c>
    </row>
    <row r="484" spans="2:14">
      <c r="B484" s="793">
        <v>472</v>
      </c>
      <c r="C484" s="807"/>
      <c r="D484" s="808"/>
      <c r="E484" s="809"/>
      <c r="F484" s="810"/>
      <c r="G484" s="237"/>
      <c r="H484" s="601">
        <f>IF(Consolidado_Geral!$G$133=7.6%,-(0.0165+0.076)*F484,0)</f>
        <v>0</v>
      </c>
      <c r="I484" s="237"/>
      <c r="J484" s="614">
        <f t="shared" si="13"/>
        <v>0</v>
      </c>
      <c r="K484" s="237"/>
      <c r="L484" s="614">
        <f t="shared" si="17"/>
        <v>0</v>
      </c>
      <c r="M484" s="237"/>
      <c r="N484" s="614">
        <f t="shared" si="14"/>
        <v>0</v>
      </c>
    </row>
    <row r="485" spans="2:14">
      <c r="B485" s="793">
        <v>473</v>
      </c>
      <c r="C485" s="807"/>
      <c r="D485" s="808"/>
      <c r="E485" s="809"/>
      <c r="F485" s="810"/>
      <c r="G485" s="237"/>
      <c r="H485" s="601">
        <f>IF(Consolidado_Geral!$G$133=7.6%,-(0.0165+0.076)*F485,0)</f>
        <v>0</v>
      </c>
      <c r="I485" s="237"/>
      <c r="J485" s="614">
        <f t="shared" si="13"/>
        <v>0</v>
      </c>
      <c r="K485" s="237"/>
      <c r="L485" s="614">
        <f t="shared" si="17"/>
        <v>0</v>
      </c>
      <c r="M485" s="237"/>
      <c r="N485" s="614">
        <f t="shared" si="14"/>
        <v>0</v>
      </c>
    </row>
    <row r="486" spans="2:14">
      <c r="B486" s="793">
        <v>474</v>
      </c>
      <c r="C486" s="807"/>
      <c r="D486" s="808"/>
      <c r="E486" s="809"/>
      <c r="F486" s="810"/>
      <c r="G486" s="237"/>
      <c r="H486" s="601">
        <f>IF(Consolidado_Geral!$G$133=7.6%,-(0.0165+0.076)*F486,0)</f>
        <v>0</v>
      </c>
      <c r="I486" s="237"/>
      <c r="J486" s="614">
        <f t="shared" si="13"/>
        <v>0</v>
      </c>
      <c r="K486" s="237"/>
      <c r="L486" s="614">
        <f t="shared" si="17"/>
        <v>0</v>
      </c>
      <c r="M486" s="237"/>
      <c r="N486" s="614">
        <f t="shared" si="14"/>
        <v>0</v>
      </c>
    </row>
    <row r="487" spans="2:14">
      <c r="B487" s="793">
        <v>475</v>
      </c>
      <c r="C487" s="807"/>
      <c r="D487" s="808"/>
      <c r="E487" s="809"/>
      <c r="F487" s="810"/>
      <c r="G487" s="237"/>
      <c r="H487" s="601">
        <f>IF(Consolidado_Geral!$G$133=7.6%,-(0.0165+0.076)*F487,0)</f>
        <v>0</v>
      </c>
      <c r="I487" s="237"/>
      <c r="J487" s="614">
        <f t="shared" si="13"/>
        <v>0</v>
      </c>
      <c r="K487" s="237"/>
      <c r="L487" s="614">
        <f t="shared" si="17"/>
        <v>0</v>
      </c>
      <c r="M487" s="237"/>
      <c r="N487" s="614">
        <f t="shared" si="14"/>
        <v>0</v>
      </c>
    </row>
    <row r="488" spans="2:14">
      <c r="B488" s="793">
        <v>476</v>
      </c>
      <c r="C488" s="807"/>
      <c r="D488" s="808"/>
      <c r="E488" s="809"/>
      <c r="F488" s="810"/>
      <c r="G488" s="237"/>
      <c r="H488" s="601">
        <f>IF(Consolidado_Geral!$G$133=7.6%,-(0.0165+0.076)*F488,0)</f>
        <v>0</v>
      </c>
      <c r="I488" s="237"/>
      <c r="J488" s="614">
        <f t="shared" si="13"/>
        <v>0</v>
      </c>
      <c r="K488" s="237"/>
      <c r="L488" s="614">
        <f t="shared" si="17"/>
        <v>0</v>
      </c>
      <c r="M488" s="237"/>
      <c r="N488" s="614">
        <f t="shared" si="14"/>
        <v>0</v>
      </c>
    </row>
    <row r="489" spans="2:14">
      <c r="B489" s="793">
        <v>477</v>
      </c>
      <c r="C489" s="807"/>
      <c r="D489" s="808"/>
      <c r="E489" s="809"/>
      <c r="F489" s="810"/>
      <c r="G489" s="237"/>
      <c r="H489" s="601">
        <f>IF(Consolidado_Geral!$G$133=7.6%,-(0.0165+0.076)*F489,0)</f>
        <v>0</v>
      </c>
      <c r="I489" s="237"/>
      <c r="J489" s="614">
        <f t="shared" si="13"/>
        <v>0</v>
      </c>
      <c r="K489" s="237"/>
      <c r="L489" s="614">
        <f t="shared" si="17"/>
        <v>0</v>
      </c>
      <c r="M489" s="237"/>
      <c r="N489" s="614">
        <f t="shared" si="14"/>
        <v>0</v>
      </c>
    </row>
    <row r="490" spans="2:14">
      <c r="B490" s="793">
        <v>478</v>
      </c>
      <c r="C490" s="807"/>
      <c r="D490" s="808"/>
      <c r="E490" s="809"/>
      <c r="F490" s="810"/>
      <c r="G490" s="237"/>
      <c r="H490" s="601">
        <f>IF(Consolidado_Geral!$G$133=7.6%,-(0.0165+0.076)*F490,0)</f>
        <v>0</v>
      </c>
      <c r="I490" s="237"/>
      <c r="J490" s="614">
        <f t="shared" si="13"/>
        <v>0</v>
      </c>
      <c r="K490" s="237"/>
      <c r="L490" s="614">
        <f t="shared" si="17"/>
        <v>0</v>
      </c>
      <c r="M490" s="237"/>
      <c r="N490" s="614">
        <f t="shared" si="14"/>
        <v>0</v>
      </c>
    </row>
    <row r="491" spans="2:14">
      <c r="B491" s="793">
        <v>479</v>
      </c>
      <c r="C491" s="807"/>
      <c r="D491" s="808"/>
      <c r="E491" s="809"/>
      <c r="F491" s="810"/>
      <c r="G491" s="237"/>
      <c r="H491" s="601">
        <f>IF(Consolidado_Geral!$G$133=7.6%,-(0.0165+0.076)*F491,0)</f>
        <v>0</v>
      </c>
      <c r="I491" s="237"/>
      <c r="J491" s="614">
        <f t="shared" si="13"/>
        <v>0</v>
      </c>
      <c r="K491" s="237"/>
      <c r="L491" s="614">
        <f t="shared" si="17"/>
        <v>0</v>
      </c>
      <c r="M491" s="237"/>
      <c r="N491" s="614">
        <f t="shared" si="14"/>
        <v>0</v>
      </c>
    </row>
    <row r="492" spans="2:14">
      <c r="B492" s="793">
        <v>480</v>
      </c>
      <c r="C492" s="807"/>
      <c r="D492" s="808"/>
      <c r="E492" s="809"/>
      <c r="F492" s="810"/>
      <c r="G492" s="237"/>
      <c r="H492" s="601">
        <f>IF(Consolidado_Geral!$G$133=7.6%,-(0.0165+0.076)*F492,0)</f>
        <v>0</v>
      </c>
      <c r="I492" s="237"/>
      <c r="J492" s="614">
        <f t="shared" si="13"/>
        <v>0</v>
      </c>
      <c r="K492" s="237"/>
      <c r="L492" s="614">
        <f t="shared" si="17"/>
        <v>0</v>
      </c>
      <c r="M492" s="237"/>
      <c r="N492" s="614">
        <f t="shared" si="14"/>
        <v>0</v>
      </c>
    </row>
    <row r="493" spans="2:14">
      <c r="B493" s="793">
        <v>481</v>
      </c>
      <c r="C493" s="807"/>
      <c r="D493" s="808"/>
      <c r="E493" s="809"/>
      <c r="F493" s="810"/>
      <c r="G493" s="237"/>
      <c r="H493" s="601">
        <f>IF(Consolidado_Geral!$G$133=7.6%,-(0.0165+0.076)*F493,0)</f>
        <v>0</v>
      </c>
      <c r="I493" s="237"/>
      <c r="J493" s="614">
        <f t="shared" si="13"/>
        <v>0</v>
      </c>
      <c r="K493" s="237"/>
      <c r="L493" s="614">
        <f t="shared" si="17"/>
        <v>0</v>
      </c>
      <c r="M493" s="237"/>
      <c r="N493" s="614">
        <f t="shared" si="14"/>
        <v>0</v>
      </c>
    </row>
    <row r="494" spans="2:14">
      <c r="B494" s="793">
        <v>482</v>
      </c>
      <c r="C494" s="807"/>
      <c r="D494" s="808"/>
      <c r="E494" s="809"/>
      <c r="F494" s="810"/>
      <c r="G494" s="237"/>
      <c r="H494" s="601">
        <f>IF(Consolidado_Geral!$G$133=7.6%,-(0.0165+0.076)*F494,0)</f>
        <v>0</v>
      </c>
      <c r="I494" s="237"/>
      <c r="J494" s="614">
        <f t="shared" si="13"/>
        <v>0</v>
      </c>
      <c r="K494" s="237"/>
      <c r="L494" s="614">
        <f t="shared" si="17"/>
        <v>0</v>
      </c>
      <c r="M494" s="237"/>
      <c r="N494" s="614">
        <f t="shared" si="14"/>
        <v>0</v>
      </c>
    </row>
    <row r="495" spans="2:14">
      <c r="B495" s="793">
        <v>483</v>
      </c>
      <c r="C495" s="807"/>
      <c r="D495" s="808"/>
      <c r="E495" s="809"/>
      <c r="F495" s="810"/>
      <c r="G495" s="237"/>
      <c r="H495" s="601">
        <f>IF(Consolidado_Geral!$G$133=7.6%,-(0.0165+0.076)*F495,0)</f>
        <v>0</v>
      </c>
      <c r="I495" s="237"/>
      <c r="J495" s="614">
        <f t="shared" si="13"/>
        <v>0</v>
      </c>
      <c r="K495" s="237"/>
      <c r="L495" s="614">
        <f t="shared" si="17"/>
        <v>0</v>
      </c>
      <c r="M495" s="237"/>
      <c r="N495" s="614">
        <f t="shared" si="14"/>
        <v>0</v>
      </c>
    </row>
    <row r="496" spans="2:14">
      <c r="B496" s="793">
        <v>484</v>
      </c>
      <c r="C496" s="807"/>
      <c r="D496" s="808"/>
      <c r="E496" s="809"/>
      <c r="F496" s="810"/>
      <c r="G496" s="237"/>
      <c r="H496" s="601">
        <f>IF(Consolidado_Geral!$G$133=7.6%,-(0.0165+0.076)*F496,0)</f>
        <v>0</v>
      </c>
      <c r="I496" s="237"/>
      <c r="J496" s="614">
        <f t="shared" si="13"/>
        <v>0</v>
      </c>
      <c r="K496" s="237"/>
      <c r="L496" s="614">
        <f t="shared" si="17"/>
        <v>0</v>
      </c>
      <c r="M496" s="237"/>
      <c r="N496" s="614">
        <f t="shared" si="14"/>
        <v>0</v>
      </c>
    </row>
    <row r="497" spans="2:14">
      <c r="B497" s="793">
        <v>485</v>
      </c>
      <c r="C497" s="807"/>
      <c r="D497" s="808"/>
      <c r="E497" s="809"/>
      <c r="F497" s="810"/>
      <c r="G497" s="237"/>
      <c r="H497" s="601">
        <f>IF(Consolidado_Geral!$G$133=7.6%,-(0.0165+0.076)*F497,0)</f>
        <v>0</v>
      </c>
      <c r="I497" s="237"/>
      <c r="J497" s="614">
        <f t="shared" si="13"/>
        <v>0</v>
      </c>
      <c r="K497" s="237"/>
      <c r="L497" s="614">
        <f t="shared" si="17"/>
        <v>0</v>
      </c>
      <c r="M497" s="237"/>
      <c r="N497" s="614">
        <f t="shared" si="14"/>
        <v>0</v>
      </c>
    </row>
    <row r="498" spans="2:14">
      <c r="B498" s="793">
        <v>486</v>
      </c>
      <c r="C498" s="807"/>
      <c r="D498" s="808"/>
      <c r="E498" s="809"/>
      <c r="F498" s="810"/>
      <c r="G498" s="237"/>
      <c r="H498" s="601">
        <f>IF(Consolidado_Geral!$G$133=7.6%,-(0.0165+0.076)*F498,0)</f>
        <v>0</v>
      </c>
      <c r="I498" s="237"/>
      <c r="J498" s="614">
        <f t="shared" si="13"/>
        <v>0</v>
      </c>
      <c r="K498" s="237"/>
      <c r="L498" s="614">
        <f t="shared" si="17"/>
        <v>0</v>
      </c>
      <c r="M498" s="237"/>
      <c r="N498" s="614">
        <f t="shared" si="14"/>
        <v>0</v>
      </c>
    </row>
    <row r="499" spans="2:14">
      <c r="B499" s="793">
        <v>487</v>
      </c>
      <c r="C499" s="807"/>
      <c r="D499" s="808"/>
      <c r="E499" s="809"/>
      <c r="F499" s="810"/>
      <c r="G499" s="237"/>
      <c r="H499" s="601">
        <f>IF(Consolidado_Geral!$G$133=7.6%,-(0.0165+0.076)*F499,0)</f>
        <v>0</v>
      </c>
      <c r="I499" s="237"/>
      <c r="J499" s="614">
        <f t="shared" si="13"/>
        <v>0</v>
      </c>
      <c r="K499" s="237"/>
      <c r="L499" s="614">
        <f t="shared" si="17"/>
        <v>0</v>
      </c>
      <c r="M499" s="237"/>
      <c r="N499" s="614">
        <f t="shared" si="14"/>
        <v>0</v>
      </c>
    </row>
    <row r="500" spans="2:14">
      <c r="B500" s="793">
        <v>488</v>
      </c>
      <c r="C500" s="807"/>
      <c r="D500" s="808"/>
      <c r="E500" s="809"/>
      <c r="F500" s="810"/>
      <c r="G500" s="237"/>
      <c r="H500" s="601">
        <f>IF(Consolidado_Geral!$G$133=7.6%,-(0.0165+0.076)*F500,0)</f>
        <v>0</v>
      </c>
      <c r="I500" s="237"/>
      <c r="J500" s="614">
        <f t="shared" si="13"/>
        <v>0</v>
      </c>
      <c r="K500" s="237"/>
      <c r="L500" s="614">
        <f t="shared" si="17"/>
        <v>0</v>
      </c>
      <c r="M500" s="237"/>
      <c r="N500" s="614">
        <f t="shared" si="14"/>
        <v>0</v>
      </c>
    </row>
    <row r="501" spans="2:14">
      <c r="B501" s="793">
        <v>489</v>
      </c>
      <c r="C501" s="807"/>
      <c r="D501" s="808"/>
      <c r="E501" s="809"/>
      <c r="F501" s="810"/>
      <c r="G501" s="237"/>
      <c r="H501" s="601">
        <f>IF(Consolidado_Geral!$G$133=7.6%,-(0.0165+0.076)*F501,0)</f>
        <v>0</v>
      </c>
      <c r="I501" s="237"/>
      <c r="J501" s="614">
        <f t="shared" si="13"/>
        <v>0</v>
      </c>
      <c r="K501" s="237"/>
      <c r="L501" s="614">
        <f t="shared" si="17"/>
        <v>0</v>
      </c>
      <c r="M501" s="237"/>
      <c r="N501" s="614">
        <f t="shared" si="14"/>
        <v>0</v>
      </c>
    </row>
    <row r="502" spans="2:14">
      <c r="B502" s="793">
        <v>490</v>
      </c>
      <c r="C502" s="807"/>
      <c r="D502" s="808"/>
      <c r="E502" s="809"/>
      <c r="F502" s="810"/>
      <c r="G502" s="237"/>
      <c r="H502" s="601">
        <f>IF(Consolidado_Geral!$G$133=7.6%,-(0.0165+0.076)*F502,0)</f>
        <v>0</v>
      </c>
      <c r="I502" s="237"/>
      <c r="J502" s="614">
        <f t="shared" si="13"/>
        <v>0</v>
      </c>
      <c r="K502" s="237"/>
      <c r="L502" s="614">
        <f t="shared" si="17"/>
        <v>0</v>
      </c>
      <c r="M502" s="237"/>
      <c r="N502" s="614">
        <f t="shared" si="14"/>
        <v>0</v>
      </c>
    </row>
    <row r="503" spans="2:14">
      <c r="B503" s="793">
        <v>491</v>
      </c>
      <c r="C503" s="807"/>
      <c r="D503" s="808"/>
      <c r="E503" s="809"/>
      <c r="F503" s="810"/>
      <c r="G503" s="237"/>
      <c r="H503" s="601">
        <f>IF(Consolidado_Geral!$G$133=7.6%,-(0.0165+0.076)*F503,0)</f>
        <v>0</v>
      </c>
      <c r="I503" s="237"/>
      <c r="J503" s="614">
        <f t="shared" si="13"/>
        <v>0</v>
      </c>
      <c r="K503" s="237"/>
      <c r="L503" s="614">
        <f t="shared" si="17"/>
        <v>0</v>
      </c>
      <c r="M503" s="237"/>
      <c r="N503" s="614">
        <f t="shared" si="14"/>
        <v>0</v>
      </c>
    </row>
    <row r="504" spans="2:14">
      <c r="B504" s="793">
        <v>492</v>
      </c>
      <c r="C504" s="807"/>
      <c r="D504" s="808"/>
      <c r="E504" s="809"/>
      <c r="F504" s="810"/>
      <c r="G504" s="237"/>
      <c r="H504" s="601">
        <f>IF(Consolidado_Geral!$G$133=7.6%,-(0.0165+0.076)*F504,0)</f>
        <v>0</v>
      </c>
      <c r="I504" s="237"/>
      <c r="J504" s="614">
        <f t="shared" si="13"/>
        <v>0</v>
      </c>
      <c r="K504" s="237"/>
      <c r="L504" s="614">
        <f t="shared" si="17"/>
        <v>0</v>
      </c>
      <c r="M504" s="237"/>
      <c r="N504" s="614">
        <f t="shared" si="14"/>
        <v>0</v>
      </c>
    </row>
    <row r="505" spans="2:14">
      <c r="B505" s="793">
        <v>493</v>
      </c>
      <c r="C505" s="807"/>
      <c r="D505" s="808"/>
      <c r="E505" s="809"/>
      <c r="F505" s="810"/>
      <c r="G505" s="237"/>
      <c r="H505" s="601">
        <f>IF(Consolidado_Geral!$G$133=7.6%,-(0.0165+0.076)*F505,0)</f>
        <v>0</v>
      </c>
      <c r="I505" s="237"/>
      <c r="J505" s="614">
        <f t="shared" si="13"/>
        <v>0</v>
      </c>
      <c r="K505" s="237"/>
      <c r="L505" s="614">
        <f t="shared" si="17"/>
        <v>0</v>
      </c>
      <c r="M505" s="237"/>
      <c r="N505" s="614">
        <f t="shared" si="14"/>
        <v>0</v>
      </c>
    </row>
    <row r="506" spans="2:14">
      <c r="B506" s="793">
        <v>494</v>
      </c>
      <c r="C506" s="807"/>
      <c r="D506" s="808"/>
      <c r="E506" s="809"/>
      <c r="F506" s="810"/>
      <c r="G506" s="237"/>
      <c r="H506" s="601">
        <f>IF(Consolidado_Geral!$G$133=7.6%,-(0.0165+0.076)*F506,0)</f>
        <v>0</v>
      </c>
      <c r="I506" s="237"/>
      <c r="J506" s="614">
        <f t="shared" si="13"/>
        <v>0</v>
      </c>
      <c r="K506" s="237"/>
      <c r="L506" s="614">
        <f t="shared" si="17"/>
        <v>0</v>
      </c>
      <c r="M506" s="237"/>
      <c r="N506" s="614">
        <f t="shared" si="14"/>
        <v>0</v>
      </c>
    </row>
    <row r="507" spans="2:14">
      <c r="B507" s="793">
        <v>495</v>
      </c>
      <c r="C507" s="807"/>
      <c r="D507" s="808"/>
      <c r="E507" s="809"/>
      <c r="F507" s="810"/>
      <c r="G507" s="237"/>
      <c r="H507" s="601">
        <f>IF(Consolidado_Geral!$G$133=7.6%,-(0.0165+0.076)*F507,0)</f>
        <v>0</v>
      </c>
      <c r="I507" s="237"/>
      <c r="J507" s="614">
        <f t="shared" si="13"/>
        <v>0</v>
      </c>
      <c r="K507" s="237"/>
      <c r="L507" s="614">
        <f t="shared" si="17"/>
        <v>0</v>
      </c>
      <c r="M507" s="237"/>
      <c r="N507" s="614">
        <f t="shared" si="14"/>
        <v>0</v>
      </c>
    </row>
    <row r="508" spans="2:14">
      <c r="B508" s="793">
        <v>496</v>
      </c>
      <c r="C508" s="807"/>
      <c r="D508" s="808"/>
      <c r="E508" s="809"/>
      <c r="F508" s="810"/>
      <c r="G508" s="237"/>
      <c r="H508" s="601">
        <f>IF(Consolidado_Geral!$G$133=7.6%,-(0.0165+0.076)*F508,0)</f>
        <v>0</v>
      </c>
      <c r="I508" s="237"/>
      <c r="J508" s="614">
        <f t="shared" si="13"/>
        <v>0</v>
      </c>
      <c r="K508" s="237"/>
      <c r="L508" s="614">
        <f t="shared" si="17"/>
        <v>0</v>
      </c>
      <c r="M508" s="237"/>
      <c r="N508" s="614">
        <f t="shared" si="14"/>
        <v>0</v>
      </c>
    </row>
    <row r="509" spans="2:14">
      <c r="B509" s="793">
        <v>497</v>
      </c>
      <c r="C509" s="807"/>
      <c r="D509" s="808"/>
      <c r="E509" s="809"/>
      <c r="F509" s="810"/>
      <c r="G509" s="237"/>
      <c r="H509" s="601">
        <f>IF(Consolidado_Geral!$G$133=7.6%,-(0.0165+0.076)*F509,0)</f>
        <v>0</v>
      </c>
      <c r="I509" s="237"/>
      <c r="J509" s="614">
        <f t="shared" si="13"/>
        <v>0</v>
      </c>
      <c r="K509" s="237"/>
      <c r="L509" s="614">
        <f t="shared" si="17"/>
        <v>0</v>
      </c>
      <c r="M509" s="237"/>
      <c r="N509" s="614">
        <f t="shared" si="14"/>
        <v>0</v>
      </c>
    </row>
    <row r="510" spans="2:14">
      <c r="B510" s="793">
        <v>498</v>
      </c>
      <c r="C510" s="807"/>
      <c r="D510" s="808"/>
      <c r="E510" s="809"/>
      <c r="F510" s="810"/>
      <c r="G510" s="237"/>
      <c r="H510" s="601">
        <f>IF(Consolidado_Geral!$G$133=7.6%,-(0.0165+0.076)*F510,0)</f>
        <v>0</v>
      </c>
      <c r="I510" s="237"/>
      <c r="J510" s="614">
        <f t="shared" si="13"/>
        <v>0</v>
      </c>
      <c r="K510" s="237"/>
      <c r="L510" s="614">
        <f t="shared" si="17"/>
        <v>0</v>
      </c>
      <c r="M510" s="237"/>
      <c r="N510" s="614">
        <f t="shared" si="14"/>
        <v>0</v>
      </c>
    </row>
    <row r="511" spans="2:14">
      <c r="B511" s="793">
        <v>499</v>
      </c>
      <c r="C511" s="807"/>
      <c r="D511" s="808"/>
      <c r="E511" s="809"/>
      <c r="F511" s="810"/>
      <c r="G511" s="237"/>
      <c r="H511" s="601">
        <f>IF(Consolidado_Geral!$G$133=7.6%,-(0.0165+0.076)*F511,0)</f>
        <v>0</v>
      </c>
      <c r="I511" s="237"/>
      <c r="J511" s="614">
        <f t="shared" si="13"/>
        <v>0</v>
      </c>
      <c r="K511" s="237"/>
      <c r="L511" s="614">
        <f t="shared" si="17"/>
        <v>0</v>
      </c>
      <c r="M511" s="237"/>
      <c r="N511" s="614">
        <f t="shared" si="14"/>
        <v>0</v>
      </c>
    </row>
    <row r="512" spans="2:14">
      <c r="B512" s="793">
        <v>500</v>
      </c>
      <c r="C512" s="807"/>
      <c r="D512" s="808"/>
      <c r="E512" s="809"/>
      <c r="F512" s="810"/>
      <c r="G512" s="237"/>
      <c r="H512" s="601">
        <f>IF(Consolidado_Geral!$G$133=7.6%,-(0.0165+0.076)*F512,0)</f>
        <v>0</v>
      </c>
      <c r="I512" s="237"/>
      <c r="J512" s="614">
        <f t="shared" si="13"/>
        <v>0</v>
      </c>
      <c r="K512" s="237"/>
      <c r="L512" s="614">
        <f t="shared" si="17"/>
        <v>0</v>
      </c>
      <c r="M512" s="237"/>
      <c r="N512" s="614">
        <f t="shared" si="14"/>
        <v>0</v>
      </c>
    </row>
    <row r="513" spans="2:14">
      <c r="B513" s="793">
        <v>501</v>
      </c>
      <c r="C513" s="807"/>
      <c r="D513" s="808"/>
      <c r="E513" s="809"/>
      <c r="F513" s="810"/>
      <c r="G513" s="237"/>
      <c r="H513" s="601">
        <f>IF(Consolidado_Geral!$G$133=7.6%,-(0.0165+0.076)*F513,0)</f>
        <v>0</v>
      </c>
      <c r="I513" s="237"/>
      <c r="J513" s="614">
        <f t="shared" si="13"/>
        <v>0</v>
      </c>
      <c r="K513" s="237"/>
      <c r="L513" s="614">
        <f t="shared" si="17"/>
        <v>0</v>
      </c>
      <c r="M513" s="237"/>
      <c r="N513" s="614">
        <f t="shared" si="14"/>
        <v>0</v>
      </c>
    </row>
    <row r="514" spans="2:14">
      <c r="B514" s="793">
        <v>502</v>
      </c>
      <c r="C514" s="807"/>
      <c r="D514" s="808"/>
      <c r="E514" s="809"/>
      <c r="F514" s="810"/>
      <c r="G514" s="237"/>
      <c r="H514" s="601">
        <f>IF(Consolidado_Geral!$G$133=7.6%,-(0.0165+0.076)*F514,0)</f>
        <v>0</v>
      </c>
      <c r="I514" s="237"/>
      <c r="J514" s="614">
        <f t="shared" si="13"/>
        <v>0</v>
      </c>
      <c r="K514" s="237"/>
      <c r="L514" s="614">
        <f t="shared" si="17"/>
        <v>0</v>
      </c>
      <c r="M514" s="237"/>
      <c r="N514" s="614">
        <f t="shared" si="14"/>
        <v>0</v>
      </c>
    </row>
    <row r="515" spans="2:14">
      <c r="B515" s="793">
        <v>503</v>
      </c>
      <c r="C515" s="807"/>
      <c r="D515" s="808"/>
      <c r="E515" s="809"/>
      <c r="F515" s="810"/>
      <c r="G515" s="237"/>
      <c r="H515" s="601">
        <f>IF(Consolidado_Geral!$G$133=7.6%,-(0.0165+0.076)*F515,0)</f>
        <v>0</v>
      </c>
      <c r="I515" s="237"/>
      <c r="J515" s="614">
        <f t="shared" si="13"/>
        <v>0</v>
      </c>
      <c r="K515" s="237"/>
      <c r="L515" s="614">
        <f t="shared" si="17"/>
        <v>0</v>
      </c>
      <c r="M515" s="237"/>
      <c r="N515" s="614">
        <f t="shared" si="14"/>
        <v>0</v>
      </c>
    </row>
    <row r="516" spans="2:14">
      <c r="B516" s="793">
        <v>504</v>
      </c>
      <c r="C516" s="807"/>
      <c r="D516" s="808"/>
      <c r="E516" s="809"/>
      <c r="F516" s="810"/>
      <c r="G516" s="237"/>
      <c r="H516" s="601">
        <f>IF(Consolidado_Geral!$G$133=7.6%,-(0.0165+0.076)*F516,0)</f>
        <v>0</v>
      </c>
      <c r="I516" s="237"/>
      <c r="J516" s="614">
        <f t="shared" si="13"/>
        <v>0</v>
      </c>
      <c r="K516" s="237"/>
      <c r="L516" s="614">
        <f t="shared" si="17"/>
        <v>0</v>
      </c>
      <c r="M516" s="237"/>
      <c r="N516" s="614">
        <f t="shared" si="14"/>
        <v>0</v>
      </c>
    </row>
    <row r="517" spans="2:14">
      <c r="B517" s="793">
        <v>505</v>
      </c>
      <c r="C517" s="807"/>
      <c r="D517" s="808"/>
      <c r="E517" s="809"/>
      <c r="F517" s="810"/>
      <c r="G517" s="237"/>
      <c r="H517" s="601">
        <f>IF(Consolidado_Geral!$G$133=7.6%,-(0.0165+0.076)*F517,0)</f>
        <v>0</v>
      </c>
      <c r="I517" s="237"/>
      <c r="J517" s="614">
        <f t="shared" si="13"/>
        <v>0</v>
      </c>
      <c r="K517" s="237"/>
      <c r="L517" s="614">
        <f t="shared" si="17"/>
        <v>0</v>
      </c>
      <c r="M517" s="237"/>
      <c r="N517" s="614">
        <f t="shared" si="14"/>
        <v>0</v>
      </c>
    </row>
    <row r="518" spans="2:14">
      <c r="B518" s="793">
        <v>506</v>
      </c>
      <c r="C518" s="807"/>
      <c r="D518" s="808"/>
      <c r="E518" s="809"/>
      <c r="F518" s="810"/>
      <c r="G518" s="237"/>
      <c r="H518" s="601">
        <f>IF(Consolidado_Geral!$G$133=7.6%,-(0.0165+0.076)*F518,0)</f>
        <v>0</v>
      </c>
      <c r="I518" s="237"/>
      <c r="J518" s="614">
        <f t="shared" si="13"/>
        <v>0</v>
      </c>
      <c r="K518" s="237"/>
      <c r="L518" s="614">
        <f t="shared" si="17"/>
        <v>0</v>
      </c>
      <c r="M518" s="237"/>
      <c r="N518" s="614">
        <f t="shared" si="14"/>
        <v>0</v>
      </c>
    </row>
    <row r="519" spans="2:14">
      <c r="B519" s="793">
        <v>507</v>
      </c>
      <c r="C519" s="807"/>
      <c r="D519" s="808"/>
      <c r="E519" s="809"/>
      <c r="F519" s="810"/>
      <c r="G519" s="237"/>
      <c r="H519" s="601">
        <f>IF(Consolidado_Geral!$G$133=7.6%,-(0.0165+0.076)*F519,0)</f>
        <v>0</v>
      </c>
      <c r="I519" s="237"/>
      <c r="J519" s="614">
        <f t="shared" si="13"/>
        <v>0</v>
      </c>
      <c r="K519" s="237"/>
      <c r="L519" s="614">
        <f t="shared" si="17"/>
        <v>0</v>
      </c>
      <c r="M519" s="237"/>
      <c r="N519" s="614">
        <f t="shared" si="14"/>
        <v>0</v>
      </c>
    </row>
    <row r="520" spans="2:14">
      <c r="B520" s="793">
        <v>508</v>
      </c>
      <c r="C520" s="807"/>
      <c r="D520" s="808"/>
      <c r="E520" s="809"/>
      <c r="F520" s="810"/>
      <c r="G520" s="237"/>
      <c r="H520" s="601">
        <f>IF(Consolidado_Geral!$G$133=7.6%,-(0.0165+0.076)*F520,0)</f>
        <v>0</v>
      </c>
      <c r="I520" s="237"/>
      <c r="J520" s="614">
        <f t="shared" si="13"/>
        <v>0</v>
      </c>
      <c r="K520" s="237"/>
      <c r="L520" s="614">
        <f t="shared" si="17"/>
        <v>0</v>
      </c>
      <c r="M520" s="237"/>
      <c r="N520" s="614">
        <f t="shared" si="14"/>
        <v>0</v>
      </c>
    </row>
    <row r="521" spans="2:14">
      <c r="B521" s="793">
        <v>509</v>
      </c>
      <c r="C521" s="807"/>
      <c r="D521" s="808"/>
      <c r="E521" s="809"/>
      <c r="F521" s="810"/>
      <c r="G521" s="237"/>
      <c r="H521" s="601">
        <f>IF(Consolidado_Geral!$G$133=7.6%,-(0.0165+0.076)*F521,0)</f>
        <v>0</v>
      </c>
      <c r="I521" s="237"/>
      <c r="J521" s="614">
        <f t="shared" si="13"/>
        <v>0</v>
      </c>
      <c r="K521" s="237"/>
      <c r="L521" s="614">
        <f t="shared" si="17"/>
        <v>0</v>
      </c>
      <c r="M521" s="237"/>
      <c r="N521" s="614">
        <f t="shared" si="14"/>
        <v>0</v>
      </c>
    </row>
    <row r="522" spans="2:14">
      <c r="B522" s="793">
        <v>510</v>
      </c>
      <c r="C522" s="807"/>
      <c r="D522" s="808"/>
      <c r="E522" s="809"/>
      <c r="F522" s="810"/>
      <c r="G522" s="237"/>
      <c r="H522" s="601">
        <f>IF(Consolidado_Geral!$G$133=7.6%,-(0.0165+0.076)*F522,0)</f>
        <v>0</v>
      </c>
      <c r="I522" s="237"/>
      <c r="J522" s="614">
        <f t="shared" si="13"/>
        <v>0</v>
      </c>
      <c r="K522" s="237"/>
      <c r="L522" s="614">
        <f t="shared" si="17"/>
        <v>0</v>
      </c>
      <c r="M522" s="237"/>
      <c r="N522" s="614">
        <f t="shared" si="14"/>
        <v>0</v>
      </c>
    </row>
    <row r="523" spans="2:14">
      <c r="B523" s="793">
        <v>511</v>
      </c>
      <c r="C523" s="807"/>
      <c r="D523" s="808"/>
      <c r="E523" s="809"/>
      <c r="F523" s="810"/>
      <c r="G523" s="237"/>
      <c r="H523" s="601">
        <f>IF(Consolidado_Geral!$G$133=7.6%,-(0.0165+0.076)*F523,0)</f>
        <v>0</v>
      </c>
      <c r="I523" s="237"/>
      <c r="J523" s="614">
        <f t="shared" si="13"/>
        <v>0</v>
      </c>
      <c r="K523" s="237"/>
      <c r="L523" s="614">
        <f t="shared" si="17"/>
        <v>0</v>
      </c>
      <c r="M523" s="237"/>
      <c r="N523" s="614">
        <f t="shared" si="14"/>
        <v>0</v>
      </c>
    </row>
    <row r="524" spans="2:14">
      <c r="B524" s="793">
        <v>512</v>
      </c>
      <c r="C524" s="807"/>
      <c r="D524" s="808"/>
      <c r="E524" s="809"/>
      <c r="F524" s="810"/>
      <c r="G524" s="237"/>
      <c r="H524" s="601">
        <f>IF(Consolidado_Geral!$G$133=7.6%,-(0.0165+0.076)*F524,0)</f>
        <v>0</v>
      </c>
      <c r="I524" s="237"/>
      <c r="J524" s="614">
        <f t="shared" si="13"/>
        <v>0</v>
      </c>
      <c r="K524" s="237"/>
      <c r="L524" s="614">
        <f t="shared" si="17"/>
        <v>0</v>
      </c>
      <c r="M524" s="237"/>
      <c r="N524" s="614">
        <f t="shared" si="14"/>
        <v>0</v>
      </c>
    </row>
    <row r="525" spans="2:14">
      <c r="B525" s="793">
        <v>513</v>
      </c>
      <c r="C525" s="807"/>
      <c r="D525" s="808"/>
      <c r="E525" s="809"/>
      <c r="F525" s="810"/>
      <c r="G525" s="237"/>
      <c r="H525" s="601">
        <f>IF(Consolidado_Geral!$G$133=7.6%,-(0.0165+0.076)*F525,0)</f>
        <v>0</v>
      </c>
      <c r="I525" s="237"/>
      <c r="J525" s="614">
        <f t="shared" si="13"/>
        <v>0</v>
      </c>
      <c r="K525" s="237"/>
      <c r="L525" s="614">
        <f t="shared" ref="L525:L588" si="18">J525*E525</f>
        <v>0</v>
      </c>
      <c r="M525" s="237"/>
      <c r="N525" s="614">
        <f t="shared" si="14"/>
        <v>0</v>
      </c>
    </row>
    <row r="526" spans="2:14">
      <c r="B526" s="793">
        <v>514</v>
      </c>
      <c r="C526" s="807"/>
      <c r="D526" s="808"/>
      <c r="E526" s="809"/>
      <c r="F526" s="810"/>
      <c r="G526" s="237"/>
      <c r="H526" s="601">
        <f>IF(Consolidado_Geral!$G$133=7.6%,-(0.0165+0.076)*F526,0)</f>
        <v>0</v>
      </c>
      <c r="I526" s="237"/>
      <c r="J526" s="614">
        <f t="shared" si="13"/>
        <v>0</v>
      </c>
      <c r="K526" s="237"/>
      <c r="L526" s="614">
        <f t="shared" si="18"/>
        <v>0</v>
      </c>
      <c r="M526" s="237"/>
      <c r="N526" s="614">
        <f t="shared" si="14"/>
        <v>0</v>
      </c>
    </row>
    <row r="527" spans="2:14">
      <c r="B527" s="793">
        <v>515</v>
      </c>
      <c r="C527" s="807"/>
      <c r="D527" s="808"/>
      <c r="E527" s="809"/>
      <c r="F527" s="810"/>
      <c r="G527" s="237"/>
      <c r="H527" s="601">
        <f>IF(Consolidado_Geral!$G$133=7.6%,-(0.0165+0.076)*F527,0)</f>
        <v>0</v>
      </c>
      <c r="I527" s="237"/>
      <c r="J527" s="614">
        <f t="shared" si="13"/>
        <v>0</v>
      </c>
      <c r="K527" s="237"/>
      <c r="L527" s="614">
        <f t="shared" si="18"/>
        <v>0</v>
      </c>
      <c r="M527" s="237"/>
      <c r="N527" s="614">
        <f t="shared" si="14"/>
        <v>0</v>
      </c>
    </row>
    <row r="528" spans="2:14">
      <c r="B528" s="793">
        <v>516</v>
      </c>
      <c r="C528" s="807"/>
      <c r="D528" s="808"/>
      <c r="E528" s="809"/>
      <c r="F528" s="810"/>
      <c r="G528" s="237"/>
      <c r="H528" s="601">
        <f>IF(Consolidado_Geral!$G$133=7.6%,-(0.0165+0.076)*F528,0)</f>
        <v>0</v>
      </c>
      <c r="I528" s="237"/>
      <c r="J528" s="614">
        <f t="shared" si="13"/>
        <v>0</v>
      </c>
      <c r="K528" s="237"/>
      <c r="L528" s="614">
        <f t="shared" si="18"/>
        <v>0</v>
      </c>
      <c r="M528" s="237"/>
      <c r="N528" s="614">
        <f t="shared" si="14"/>
        <v>0</v>
      </c>
    </row>
    <row r="529" spans="2:14">
      <c r="B529" s="793">
        <v>517</v>
      </c>
      <c r="C529" s="807"/>
      <c r="D529" s="808"/>
      <c r="E529" s="809"/>
      <c r="F529" s="810"/>
      <c r="G529" s="237"/>
      <c r="H529" s="601">
        <f>IF(Consolidado_Geral!$G$133=7.6%,-(0.0165+0.076)*F529,0)</f>
        <v>0</v>
      </c>
      <c r="I529" s="237"/>
      <c r="J529" s="614">
        <f t="shared" si="13"/>
        <v>0</v>
      </c>
      <c r="K529" s="237"/>
      <c r="L529" s="614">
        <f t="shared" si="18"/>
        <v>0</v>
      </c>
      <c r="M529" s="237"/>
      <c r="N529" s="614">
        <f t="shared" si="14"/>
        <v>0</v>
      </c>
    </row>
    <row r="530" spans="2:14">
      <c r="B530" s="793">
        <v>518</v>
      </c>
      <c r="C530" s="807"/>
      <c r="D530" s="808"/>
      <c r="E530" s="809"/>
      <c r="F530" s="810"/>
      <c r="G530" s="237"/>
      <c r="H530" s="601">
        <f>IF(Consolidado_Geral!$G$133=7.6%,-(0.0165+0.076)*F530,0)</f>
        <v>0</v>
      </c>
      <c r="I530" s="237"/>
      <c r="J530" s="614">
        <f t="shared" si="13"/>
        <v>0</v>
      </c>
      <c r="K530" s="237"/>
      <c r="L530" s="614">
        <f t="shared" si="18"/>
        <v>0</v>
      </c>
      <c r="M530" s="237"/>
      <c r="N530" s="614">
        <f t="shared" si="14"/>
        <v>0</v>
      </c>
    </row>
    <row r="531" spans="2:14">
      <c r="B531" s="793">
        <v>519</v>
      </c>
      <c r="C531" s="807"/>
      <c r="D531" s="808"/>
      <c r="E531" s="809"/>
      <c r="F531" s="810"/>
      <c r="G531" s="237"/>
      <c r="H531" s="601">
        <f>IF(Consolidado_Geral!$G$133=7.6%,-(0.0165+0.076)*F531,0)</f>
        <v>0</v>
      </c>
      <c r="I531" s="237"/>
      <c r="J531" s="614">
        <f t="shared" si="13"/>
        <v>0</v>
      </c>
      <c r="K531" s="237"/>
      <c r="L531" s="614">
        <f t="shared" si="18"/>
        <v>0</v>
      </c>
      <c r="M531" s="237"/>
      <c r="N531" s="614">
        <f t="shared" si="14"/>
        <v>0</v>
      </c>
    </row>
    <row r="532" spans="2:14">
      <c r="B532" s="793">
        <v>520</v>
      </c>
      <c r="C532" s="807"/>
      <c r="D532" s="808"/>
      <c r="E532" s="809"/>
      <c r="F532" s="810"/>
      <c r="G532" s="237"/>
      <c r="H532" s="601">
        <f>IF(Consolidado_Geral!$G$133=7.6%,-(0.0165+0.076)*F532,0)</f>
        <v>0</v>
      </c>
      <c r="I532" s="237"/>
      <c r="J532" s="614">
        <f t="shared" si="13"/>
        <v>0</v>
      </c>
      <c r="K532" s="237"/>
      <c r="L532" s="614">
        <f t="shared" si="18"/>
        <v>0</v>
      </c>
      <c r="M532" s="237"/>
      <c r="N532" s="614">
        <f t="shared" si="14"/>
        <v>0</v>
      </c>
    </row>
    <row r="533" spans="2:14">
      <c r="B533" s="793">
        <v>521</v>
      </c>
      <c r="C533" s="807"/>
      <c r="D533" s="808"/>
      <c r="E533" s="809"/>
      <c r="F533" s="810"/>
      <c r="G533" s="237"/>
      <c r="H533" s="601">
        <f>IF(Consolidado_Geral!$G$133=7.6%,-(0.0165+0.076)*F533,0)</f>
        <v>0</v>
      </c>
      <c r="I533" s="237"/>
      <c r="J533" s="614">
        <f t="shared" si="13"/>
        <v>0</v>
      </c>
      <c r="K533" s="237"/>
      <c r="L533" s="614">
        <f t="shared" si="18"/>
        <v>0</v>
      </c>
      <c r="M533" s="237"/>
      <c r="N533" s="614">
        <f t="shared" si="14"/>
        <v>0</v>
      </c>
    </row>
    <row r="534" spans="2:14">
      <c r="B534" s="793">
        <v>522</v>
      </c>
      <c r="C534" s="807"/>
      <c r="D534" s="808"/>
      <c r="E534" s="809"/>
      <c r="F534" s="810"/>
      <c r="G534" s="237"/>
      <c r="H534" s="601">
        <f>IF(Consolidado_Geral!$G$133=7.6%,-(0.0165+0.076)*F534,0)</f>
        <v>0</v>
      </c>
      <c r="I534" s="237"/>
      <c r="J534" s="614">
        <f t="shared" si="13"/>
        <v>0</v>
      </c>
      <c r="K534" s="237"/>
      <c r="L534" s="614">
        <f t="shared" si="18"/>
        <v>0</v>
      </c>
      <c r="M534" s="237"/>
      <c r="N534" s="614">
        <f t="shared" si="14"/>
        <v>0</v>
      </c>
    </row>
    <row r="535" spans="2:14">
      <c r="B535" s="793">
        <v>523</v>
      </c>
      <c r="C535" s="807"/>
      <c r="D535" s="808"/>
      <c r="E535" s="809"/>
      <c r="F535" s="810"/>
      <c r="G535" s="237"/>
      <c r="H535" s="601">
        <f>IF(Consolidado_Geral!$G$133=7.6%,-(0.0165+0.076)*F535,0)</f>
        <v>0</v>
      </c>
      <c r="I535" s="237"/>
      <c r="J535" s="614">
        <f t="shared" si="13"/>
        <v>0</v>
      </c>
      <c r="K535" s="237"/>
      <c r="L535" s="614">
        <f t="shared" si="18"/>
        <v>0</v>
      </c>
      <c r="M535" s="237"/>
      <c r="N535" s="614">
        <f t="shared" si="14"/>
        <v>0</v>
      </c>
    </row>
    <row r="536" spans="2:14">
      <c r="B536" s="793">
        <v>524</v>
      </c>
      <c r="C536" s="807"/>
      <c r="D536" s="808"/>
      <c r="E536" s="809"/>
      <c r="F536" s="810"/>
      <c r="G536" s="237"/>
      <c r="H536" s="601">
        <f>IF(Consolidado_Geral!$G$133=7.6%,-(0.0165+0.076)*F536,0)</f>
        <v>0</v>
      </c>
      <c r="I536" s="237"/>
      <c r="J536" s="614">
        <f t="shared" si="13"/>
        <v>0</v>
      </c>
      <c r="K536" s="237"/>
      <c r="L536" s="614">
        <f t="shared" si="18"/>
        <v>0</v>
      </c>
      <c r="M536" s="237"/>
      <c r="N536" s="614">
        <f t="shared" si="14"/>
        <v>0</v>
      </c>
    </row>
    <row r="537" spans="2:14">
      <c r="B537" s="793">
        <v>525</v>
      </c>
      <c r="C537" s="807"/>
      <c r="D537" s="808"/>
      <c r="E537" s="809"/>
      <c r="F537" s="810"/>
      <c r="G537" s="237"/>
      <c r="H537" s="601">
        <f>IF(Consolidado_Geral!$G$133=7.6%,-(0.0165+0.076)*F537,0)</f>
        <v>0</v>
      </c>
      <c r="I537" s="237"/>
      <c r="J537" s="614">
        <f t="shared" si="13"/>
        <v>0</v>
      </c>
      <c r="K537" s="237"/>
      <c r="L537" s="614">
        <f t="shared" si="18"/>
        <v>0</v>
      </c>
      <c r="M537" s="237"/>
      <c r="N537" s="614">
        <f t="shared" si="14"/>
        <v>0</v>
      </c>
    </row>
    <row r="538" spans="2:14">
      <c r="B538" s="793">
        <v>526</v>
      </c>
      <c r="C538" s="807"/>
      <c r="D538" s="808"/>
      <c r="E538" s="809"/>
      <c r="F538" s="810"/>
      <c r="G538" s="237"/>
      <c r="H538" s="601">
        <f>IF(Consolidado_Geral!$G$133=7.6%,-(0.0165+0.076)*F538,0)</f>
        <v>0</v>
      </c>
      <c r="I538" s="237"/>
      <c r="J538" s="614">
        <f t="shared" si="13"/>
        <v>0</v>
      </c>
      <c r="K538" s="237"/>
      <c r="L538" s="614">
        <f t="shared" si="18"/>
        <v>0</v>
      </c>
      <c r="M538" s="237"/>
      <c r="N538" s="614">
        <f t="shared" si="14"/>
        <v>0</v>
      </c>
    </row>
    <row r="539" spans="2:14">
      <c r="B539" s="793">
        <v>527</v>
      </c>
      <c r="C539" s="807"/>
      <c r="D539" s="808"/>
      <c r="E539" s="809"/>
      <c r="F539" s="810"/>
      <c r="G539" s="237"/>
      <c r="H539" s="601">
        <f>IF(Consolidado_Geral!$G$133=7.6%,-(0.0165+0.076)*F539,0)</f>
        <v>0</v>
      </c>
      <c r="I539" s="237"/>
      <c r="J539" s="614">
        <f t="shared" si="13"/>
        <v>0</v>
      </c>
      <c r="K539" s="237"/>
      <c r="L539" s="614">
        <f t="shared" si="18"/>
        <v>0</v>
      </c>
      <c r="M539" s="237"/>
      <c r="N539" s="614">
        <f t="shared" si="14"/>
        <v>0</v>
      </c>
    </row>
    <row r="540" spans="2:14">
      <c r="B540" s="793">
        <v>528</v>
      </c>
      <c r="C540" s="807"/>
      <c r="D540" s="808"/>
      <c r="E540" s="809"/>
      <c r="F540" s="810"/>
      <c r="G540" s="237"/>
      <c r="H540" s="601">
        <f>IF(Consolidado_Geral!$G$133=7.6%,-(0.0165+0.076)*F540,0)</f>
        <v>0</v>
      </c>
      <c r="I540" s="237"/>
      <c r="J540" s="614">
        <f t="shared" si="13"/>
        <v>0</v>
      </c>
      <c r="K540" s="237"/>
      <c r="L540" s="614">
        <f t="shared" si="18"/>
        <v>0</v>
      </c>
      <c r="M540" s="237"/>
      <c r="N540" s="614">
        <f t="shared" si="14"/>
        <v>0</v>
      </c>
    </row>
    <row r="541" spans="2:14">
      <c r="B541" s="793">
        <v>529</v>
      </c>
      <c r="C541" s="807"/>
      <c r="D541" s="808"/>
      <c r="E541" s="809"/>
      <c r="F541" s="810"/>
      <c r="G541" s="237"/>
      <c r="H541" s="601">
        <f>IF(Consolidado_Geral!$G$133=7.6%,-(0.0165+0.076)*F541,0)</f>
        <v>0</v>
      </c>
      <c r="I541" s="237"/>
      <c r="J541" s="614">
        <f t="shared" si="13"/>
        <v>0</v>
      </c>
      <c r="K541" s="237"/>
      <c r="L541" s="614">
        <f t="shared" si="18"/>
        <v>0</v>
      </c>
      <c r="M541" s="237"/>
      <c r="N541" s="614">
        <f t="shared" si="14"/>
        <v>0</v>
      </c>
    </row>
    <row r="542" spans="2:14">
      <c r="B542" s="793">
        <v>530</v>
      </c>
      <c r="C542" s="807"/>
      <c r="D542" s="808"/>
      <c r="E542" s="809"/>
      <c r="F542" s="810"/>
      <c r="G542" s="237"/>
      <c r="H542" s="601">
        <f>IF(Consolidado_Geral!$G$133=7.6%,-(0.0165+0.076)*F542,0)</f>
        <v>0</v>
      </c>
      <c r="I542" s="237"/>
      <c r="J542" s="614">
        <f t="shared" si="13"/>
        <v>0</v>
      </c>
      <c r="K542" s="237"/>
      <c r="L542" s="614">
        <f t="shared" si="18"/>
        <v>0</v>
      </c>
      <c r="M542" s="237"/>
      <c r="N542" s="614">
        <f t="shared" si="14"/>
        <v>0</v>
      </c>
    </row>
    <row r="543" spans="2:14">
      <c r="B543" s="793">
        <v>531</v>
      </c>
      <c r="C543" s="807"/>
      <c r="D543" s="808"/>
      <c r="E543" s="809"/>
      <c r="F543" s="810"/>
      <c r="G543" s="237"/>
      <c r="H543" s="601">
        <f>IF(Consolidado_Geral!$G$133=7.6%,-(0.0165+0.076)*F543,0)</f>
        <v>0</v>
      </c>
      <c r="I543" s="237"/>
      <c r="J543" s="614">
        <f t="shared" si="13"/>
        <v>0</v>
      </c>
      <c r="K543" s="237"/>
      <c r="L543" s="614">
        <f t="shared" si="18"/>
        <v>0</v>
      </c>
      <c r="M543" s="237"/>
      <c r="N543" s="614">
        <f t="shared" si="14"/>
        <v>0</v>
      </c>
    </row>
    <row r="544" spans="2:14">
      <c r="B544" s="793">
        <v>532</v>
      </c>
      <c r="C544" s="807"/>
      <c r="D544" s="808"/>
      <c r="E544" s="809"/>
      <c r="F544" s="810"/>
      <c r="G544" s="237"/>
      <c r="H544" s="601">
        <f>IF(Consolidado_Geral!$G$133=7.6%,-(0.0165+0.076)*F544,0)</f>
        <v>0</v>
      </c>
      <c r="I544" s="237"/>
      <c r="J544" s="614">
        <f t="shared" si="13"/>
        <v>0</v>
      </c>
      <c r="K544" s="237"/>
      <c r="L544" s="614">
        <f t="shared" si="18"/>
        <v>0</v>
      </c>
      <c r="M544" s="237"/>
      <c r="N544" s="614">
        <f t="shared" si="14"/>
        <v>0</v>
      </c>
    </row>
    <row r="545" spans="2:14">
      <c r="B545" s="793">
        <v>533</v>
      </c>
      <c r="C545" s="807"/>
      <c r="D545" s="808"/>
      <c r="E545" s="809"/>
      <c r="F545" s="810"/>
      <c r="G545" s="237"/>
      <c r="H545" s="601">
        <f>IF(Consolidado_Geral!$G$133=7.6%,-(0.0165+0.076)*F545,0)</f>
        <v>0</v>
      </c>
      <c r="I545" s="237"/>
      <c r="J545" s="614">
        <f t="shared" si="13"/>
        <v>0</v>
      </c>
      <c r="K545" s="237"/>
      <c r="L545" s="614">
        <f t="shared" si="18"/>
        <v>0</v>
      </c>
      <c r="M545" s="237"/>
      <c r="N545" s="614">
        <f t="shared" si="14"/>
        <v>0</v>
      </c>
    </row>
    <row r="546" spans="2:14">
      <c r="B546" s="793">
        <v>534</v>
      </c>
      <c r="C546" s="807"/>
      <c r="D546" s="808"/>
      <c r="E546" s="809"/>
      <c r="F546" s="810"/>
      <c r="G546" s="237"/>
      <c r="H546" s="601">
        <f>IF(Consolidado_Geral!$G$133=7.6%,-(0.0165+0.076)*F546,0)</f>
        <v>0</v>
      </c>
      <c r="I546" s="237"/>
      <c r="J546" s="614">
        <f t="shared" si="13"/>
        <v>0</v>
      </c>
      <c r="K546" s="237"/>
      <c r="L546" s="614">
        <f t="shared" si="18"/>
        <v>0</v>
      </c>
      <c r="M546" s="237"/>
      <c r="N546" s="614">
        <f t="shared" si="14"/>
        <v>0</v>
      </c>
    </row>
    <row r="547" spans="2:14">
      <c r="B547" s="793">
        <v>535</v>
      </c>
      <c r="C547" s="807"/>
      <c r="D547" s="808"/>
      <c r="E547" s="809"/>
      <c r="F547" s="810"/>
      <c r="G547" s="237"/>
      <c r="H547" s="601">
        <f>IF(Consolidado_Geral!$G$133=7.6%,-(0.0165+0.076)*F547,0)</f>
        <v>0</v>
      </c>
      <c r="I547" s="237"/>
      <c r="J547" s="614">
        <f t="shared" si="13"/>
        <v>0</v>
      </c>
      <c r="K547" s="237"/>
      <c r="L547" s="614">
        <f t="shared" si="18"/>
        <v>0</v>
      </c>
      <c r="M547" s="237"/>
      <c r="N547" s="614">
        <f t="shared" si="14"/>
        <v>0</v>
      </c>
    </row>
    <row r="548" spans="2:14">
      <c r="B548" s="793">
        <v>536</v>
      </c>
      <c r="C548" s="807"/>
      <c r="D548" s="808"/>
      <c r="E548" s="809"/>
      <c r="F548" s="810"/>
      <c r="G548" s="237"/>
      <c r="H548" s="601">
        <f>IF(Consolidado_Geral!$G$133=7.6%,-(0.0165+0.076)*F548,0)</f>
        <v>0</v>
      </c>
      <c r="I548" s="237"/>
      <c r="J548" s="614">
        <f t="shared" si="13"/>
        <v>0</v>
      </c>
      <c r="K548" s="237"/>
      <c r="L548" s="614">
        <f t="shared" si="18"/>
        <v>0</v>
      </c>
      <c r="M548" s="237"/>
      <c r="N548" s="614">
        <f t="shared" si="14"/>
        <v>0</v>
      </c>
    </row>
    <row r="549" spans="2:14">
      <c r="B549" s="793">
        <v>537</v>
      </c>
      <c r="C549" s="807"/>
      <c r="D549" s="808"/>
      <c r="E549" s="809"/>
      <c r="F549" s="810"/>
      <c r="G549" s="237"/>
      <c r="H549" s="601">
        <f>IF(Consolidado_Geral!$G$133=7.6%,-(0.0165+0.076)*F549,0)</f>
        <v>0</v>
      </c>
      <c r="I549" s="237"/>
      <c r="J549" s="614">
        <f t="shared" si="13"/>
        <v>0</v>
      </c>
      <c r="K549" s="237"/>
      <c r="L549" s="614">
        <f t="shared" si="18"/>
        <v>0</v>
      </c>
      <c r="M549" s="237"/>
      <c r="N549" s="614">
        <f t="shared" si="14"/>
        <v>0</v>
      </c>
    </row>
    <row r="550" spans="2:14">
      <c r="B550" s="793">
        <v>538</v>
      </c>
      <c r="C550" s="807"/>
      <c r="D550" s="808"/>
      <c r="E550" s="809"/>
      <c r="F550" s="810"/>
      <c r="G550" s="237"/>
      <c r="H550" s="601">
        <f>IF(Consolidado_Geral!$G$133=7.6%,-(0.0165+0.076)*F550,0)</f>
        <v>0</v>
      </c>
      <c r="I550" s="237"/>
      <c r="J550" s="614">
        <f t="shared" si="13"/>
        <v>0</v>
      </c>
      <c r="K550" s="237"/>
      <c r="L550" s="614">
        <f t="shared" si="18"/>
        <v>0</v>
      </c>
      <c r="M550" s="237"/>
      <c r="N550" s="614">
        <f t="shared" si="14"/>
        <v>0</v>
      </c>
    </row>
    <row r="551" spans="2:14">
      <c r="B551" s="793">
        <v>539</v>
      </c>
      <c r="C551" s="807"/>
      <c r="D551" s="808"/>
      <c r="E551" s="809"/>
      <c r="F551" s="810"/>
      <c r="G551" s="237"/>
      <c r="H551" s="601">
        <f>IF(Consolidado_Geral!$G$133=7.6%,-(0.0165+0.076)*F551,0)</f>
        <v>0</v>
      </c>
      <c r="I551" s="237"/>
      <c r="J551" s="614">
        <f t="shared" si="13"/>
        <v>0</v>
      </c>
      <c r="K551" s="237"/>
      <c r="L551" s="614">
        <f t="shared" si="18"/>
        <v>0</v>
      </c>
      <c r="M551" s="237"/>
      <c r="N551" s="614">
        <f t="shared" si="14"/>
        <v>0</v>
      </c>
    </row>
    <row r="552" spans="2:14">
      <c r="B552" s="793">
        <v>540</v>
      </c>
      <c r="C552" s="807"/>
      <c r="D552" s="808"/>
      <c r="E552" s="809"/>
      <c r="F552" s="810"/>
      <c r="G552" s="237"/>
      <c r="H552" s="601">
        <f>IF(Consolidado_Geral!$G$133=7.6%,-(0.0165+0.076)*F552,0)</f>
        <v>0</v>
      </c>
      <c r="I552" s="237"/>
      <c r="J552" s="614">
        <f t="shared" si="13"/>
        <v>0</v>
      </c>
      <c r="K552" s="237"/>
      <c r="L552" s="614">
        <f t="shared" si="18"/>
        <v>0</v>
      </c>
      <c r="M552" s="237"/>
      <c r="N552" s="614">
        <f t="shared" si="14"/>
        <v>0</v>
      </c>
    </row>
    <row r="553" spans="2:14">
      <c r="B553" s="793">
        <v>541</v>
      </c>
      <c r="C553" s="807"/>
      <c r="D553" s="808"/>
      <c r="E553" s="809"/>
      <c r="F553" s="810"/>
      <c r="G553" s="237"/>
      <c r="H553" s="601">
        <f>IF(Consolidado_Geral!$G$133=7.6%,-(0.0165+0.076)*F553,0)</f>
        <v>0</v>
      </c>
      <c r="I553" s="237"/>
      <c r="J553" s="614">
        <f t="shared" si="13"/>
        <v>0</v>
      </c>
      <c r="K553" s="237"/>
      <c r="L553" s="614">
        <f t="shared" si="18"/>
        <v>0</v>
      </c>
      <c r="M553" s="237"/>
      <c r="N553" s="614">
        <f t="shared" si="14"/>
        <v>0</v>
      </c>
    </row>
    <row r="554" spans="2:14">
      <c r="B554" s="793">
        <v>542</v>
      </c>
      <c r="C554" s="807"/>
      <c r="D554" s="808"/>
      <c r="E554" s="809"/>
      <c r="F554" s="810"/>
      <c r="G554" s="237"/>
      <c r="H554" s="601">
        <f>IF(Consolidado_Geral!$G$133=7.6%,-(0.0165+0.076)*F554,0)</f>
        <v>0</v>
      </c>
      <c r="I554" s="237"/>
      <c r="J554" s="614">
        <f t="shared" si="13"/>
        <v>0</v>
      </c>
      <c r="K554" s="237"/>
      <c r="L554" s="614">
        <f t="shared" si="18"/>
        <v>0</v>
      </c>
      <c r="M554" s="237"/>
      <c r="N554" s="614">
        <f t="shared" si="14"/>
        <v>0</v>
      </c>
    </row>
    <row r="555" spans="2:14">
      <c r="B555" s="793">
        <v>543</v>
      </c>
      <c r="C555" s="807"/>
      <c r="D555" s="808"/>
      <c r="E555" s="809"/>
      <c r="F555" s="810"/>
      <c r="G555" s="237"/>
      <c r="H555" s="601">
        <f>IF(Consolidado_Geral!$G$133=7.6%,-(0.0165+0.076)*F555,0)</f>
        <v>0</v>
      </c>
      <c r="I555" s="237"/>
      <c r="J555" s="614">
        <f t="shared" si="13"/>
        <v>0</v>
      </c>
      <c r="K555" s="237"/>
      <c r="L555" s="614">
        <f t="shared" si="18"/>
        <v>0</v>
      </c>
      <c r="M555" s="237"/>
      <c r="N555" s="614">
        <f t="shared" si="14"/>
        <v>0</v>
      </c>
    </row>
    <row r="556" spans="2:14">
      <c r="B556" s="793">
        <v>544</v>
      </c>
      <c r="C556" s="807"/>
      <c r="D556" s="808"/>
      <c r="E556" s="809"/>
      <c r="F556" s="810"/>
      <c r="G556" s="237"/>
      <c r="H556" s="601">
        <f>IF(Consolidado_Geral!$G$133=7.6%,-(0.0165+0.076)*F556,0)</f>
        <v>0</v>
      </c>
      <c r="I556" s="237"/>
      <c r="J556" s="614">
        <f t="shared" si="13"/>
        <v>0</v>
      </c>
      <c r="K556" s="237"/>
      <c r="L556" s="614">
        <f t="shared" si="18"/>
        <v>0</v>
      </c>
      <c r="M556" s="237"/>
      <c r="N556" s="614">
        <f t="shared" si="14"/>
        <v>0</v>
      </c>
    </row>
    <row r="557" spans="2:14">
      <c r="B557" s="793">
        <v>545</v>
      </c>
      <c r="C557" s="807"/>
      <c r="D557" s="808"/>
      <c r="E557" s="809"/>
      <c r="F557" s="810"/>
      <c r="G557" s="237"/>
      <c r="H557" s="601">
        <f>IF(Consolidado_Geral!$G$133=7.6%,-(0.0165+0.076)*F557,0)</f>
        <v>0</v>
      </c>
      <c r="I557" s="237"/>
      <c r="J557" s="614">
        <f t="shared" si="13"/>
        <v>0</v>
      </c>
      <c r="K557" s="237"/>
      <c r="L557" s="614">
        <f t="shared" si="18"/>
        <v>0</v>
      </c>
      <c r="M557" s="237"/>
      <c r="N557" s="614">
        <f t="shared" si="14"/>
        <v>0</v>
      </c>
    </row>
    <row r="558" spans="2:14">
      <c r="B558" s="793">
        <v>546</v>
      </c>
      <c r="C558" s="807"/>
      <c r="D558" s="808"/>
      <c r="E558" s="809"/>
      <c r="F558" s="810"/>
      <c r="G558" s="237"/>
      <c r="H558" s="601">
        <f>IF(Consolidado_Geral!$G$133=7.6%,-(0.0165+0.076)*F558,0)</f>
        <v>0</v>
      </c>
      <c r="I558" s="237"/>
      <c r="J558" s="614">
        <f t="shared" si="13"/>
        <v>0</v>
      </c>
      <c r="K558" s="237"/>
      <c r="L558" s="614">
        <f t="shared" si="18"/>
        <v>0</v>
      </c>
      <c r="M558" s="237"/>
      <c r="N558" s="614">
        <f t="shared" si="14"/>
        <v>0</v>
      </c>
    </row>
    <row r="559" spans="2:14">
      <c r="B559" s="793">
        <v>547</v>
      </c>
      <c r="C559" s="807"/>
      <c r="D559" s="808"/>
      <c r="E559" s="809"/>
      <c r="F559" s="810"/>
      <c r="G559" s="237"/>
      <c r="H559" s="601">
        <f>IF(Consolidado_Geral!$G$133=7.6%,-(0.0165+0.076)*F559,0)</f>
        <v>0</v>
      </c>
      <c r="I559" s="237"/>
      <c r="J559" s="614">
        <f t="shared" si="13"/>
        <v>0</v>
      </c>
      <c r="K559" s="237"/>
      <c r="L559" s="614">
        <f t="shared" si="18"/>
        <v>0</v>
      </c>
      <c r="M559" s="237"/>
      <c r="N559" s="614">
        <f t="shared" si="14"/>
        <v>0</v>
      </c>
    </row>
    <row r="560" spans="2:14">
      <c r="B560" s="793">
        <v>548</v>
      </c>
      <c r="C560" s="807"/>
      <c r="D560" s="808"/>
      <c r="E560" s="809"/>
      <c r="F560" s="810"/>
      <c r="G560" s="237"/>
      <c r="H560" s="601">
        <f>IF(Consolidado_Geral!$G$133=7.6%,-(0.0165+0.076)*F560,0)</f>
        <v>0</v>
      </c>
      <c r="I560" s="237"/>
      <c r="J560" s="614">
        <f t="shared" si="13"/>
        <v>0</v>
      </c>
      <c r="K560" s="237"/>
      <c r="L560" s="614">
        <f t="shared" si="18"/>
        <v>0</v>
      </c>
      <c r="M560" s="237"/>
      <c r="N560" s="614">
        <f t="shared" si="14"/>
        <v>0</v>
      </c>
    </row>
    <row r="561" spans="2:14">
      <c r="B561" s="793">
        <v>549</v>
      </c>
      <c r="C561" s="807"/>
      <c r="D561" s="808"/>
      <c r="E561" s="809"/>
      <c r="F561" s="810"/>
      <c r="G561" s="237"/>
      <c r="H561" s="601">
        <f>IF(Consolidado_Geral!$G$133=7.6%,-(0.0165+0.076)*F561,0)</f>
        <v>0</v>
      </c>
      <c r="I561" s="237"/>
      <c r="J561" s="614">
        <f t="shared" ref="J561:J609" si="19">F561+H561</f>
        <v>0</v>
      </c>
      <c r="K561" s="237"/>
      <c r="L561" s="614">
        <f t="shared" si="18"/>
        <v>0</v>
      </c>
      <c r="M561" s="237"/>
      <c r="N561" s="614">
        <f t="shared" ref="N561:N609" si="20">L561*12</f>
        <v>0</v>
      </c>
    </row>
    <row r="562" spans="2:14">
      <c r="B562" s="793">
        <v>550</v>
      </c>
      <c r="C562" s="807"/>
      <c r="D562" s="808"/>
      <c r="E562" s="809"/>
      <c r="F562" s="810"/>
      <c r="G562" s="237"/>
      <c r="H562" s="601">
        <f>IF(Consolidado_Geral!$G$133=7.6%,-(0.0165+0.076)*F562,0)</f>
        <v>0</v>
      </c>
      <c r="I562" s="237"/>
      <c r="J562" s="614">
        <f t="shared" si="19"/>
        <v>0</v>
      </c>
      <c r="K562" s="237"/>
      <c r="L562" s="614">
        <f t="shared" si="18"/>
        <v>0</v>
      </c>
      <c r="M562" s="237"/>
      <c r="N562" s="614">
        <f t="shared" si="20"/>
        <v>0</v>
      </c>
    </row>
    <row r="563" spans="2:14">
      <c r="B563" s="793">
        <v>551</v>
      </c>
      <c r="C563" s="807"/>
      <c r="D563" s="808"/>
      <c r="E563" s="809"/>
      <c r="F563" s="810"/>
      <c r="G563" s="237"/>
      <c r="H563" s="601">
        <f>IF(Consolidado_Geral!$G$133=7.6%,-(0.0165+0.076)*F563,0)</f>
        <v>0</v>
      </c>
      <c r="I563" s="237"/>
      <c r="J563" s="614">
        <f t="shared" si="19"/>
        <v>0</v>
      </c>
      <c r="K563" s="237"/>
      <c r="L563" s="614">
        <f t="shared" si="18"/>
        <v>0</v>
      </c>
      <c r="M563" s="237"/>
      <c r="N563" s="614">
        <f t="shared" si="20"/>
        <v>0</v>
      </c>
    </row>
    <row r="564" spans="2:14">
      <c r="B564" s="793">
        <v>552</v>
      </c>
      <c r="C564" s="807"/>
      <c r="D564" s="808"/>
      <c r="E564" s="809"/>
      <c r="F564" s="810"/>
      <c r="G564" s="237"/>
      <c r="H564" s="601">
        <f>IF(Consolidado_Geral!$G$133=7.6%,-(0.0165+0.076)*F564,0)</f>
        <v>0</v>
      </c>
      <c r="I564" s="237"/>
      <c r="J564" s="614">
        <f t="shared" si="19"/>
        <v>0</v>
      </c>
      <c r="K564" s="237"/>
      <c r="L564" s="614">
        <f t="shared" si="18"/>
        <v>0</v>
      </c>
      <c r="M564" s="237"/>
      <c r="N564" s="614">
        <f t="shared" si="20"/>
        <v>0</v>
      </c>
    </row>
    <row r="565" spans="2:14">
      <c r="B565" s="793">
        <v>553</v>
      </c>
      <c r="C565" s="807"/>
      <c r="D565" s="808"/>
      <c r="E565" s="809"/>
      <c r="F565" s="810"/>
      <c r="G565" s="237"/>
      <c r="H565" s="601">
        <f>IF(Consolidado_Geral!$G$133=7.6%,-(0.0165+0.076)*F565,0)</f>
        <v>0</v>
      </c>
      <c r="I565" s="237"/>
      <c r="J565" s="614">
        <f t="shared" si="19"/>
        <v>0</v>
      </c>
      <c r="K565" s="237"/>
      <c r="L565" s="614">
        <f t="shared" si="18"/>
        <v>0</v>
      </c>
      <c r="M565" s="237"/>
      <c r="N565" s="614">
        <f t="shared" si="20"/>
        <v>0</v>
      </c>
    </row>
    <row r="566" spans="2:14">
      <c r="B566" s="793">
        <v>554</v>
      </c>
      <c r="C566" s="807"/>
      <c r="D566" s="808"/>
      <c r="E566" s="809"/>
      <c r="F566" s="810"/>
      <c r="G566" s="237"/>
      <c r="H566" s="601">
        <f>IF(Consolidado_Geral!$G$133=7.6%,-(0.0165+0.076)*F566,0)</f>
        <v>0</v>
      </c>
      <c r="I566" s="237"/>
      <c r="J566" s="614">
        <f t="shared" si="19"/>
        <v>0</v>
      </c>
      <c r="K566" s="237"/>
      <c r="L566" s="614">
        <f t="shared" si="18"/>
        <v>0</v>
      </c>
      <c r="M566" s="237"/>
      <c r="N566" s="614">
        <f t="shared" si="20"/>
        <v>0</v>
      </c>
    </row>
    <row r="567" spans="2:14">
      <c r="B567" s="793">
        <v>555</v>
      </c>
      <c r="C567" s="807"/>
      <c r="D567" s="808"/>
      <c r="E567" s="809"/>
      <c r="F567" s="810"/>
      <c r="G567" s="237"/>
      <c r="H567" s="601">
        <f>IF(Consolidado_Geral!$G$133=7.6%,-(0.0165+0.076)*F567,0)</f>
        <v>0</v>
      </c>
      <c r="I567" s="237"/>
      <c r="J567" s="614">
        <f t="shared" si="19"/>
        <v>0</v>
      </c>
      <c r="K567" s="237"/>
      <c r="L567" s="614">
        <f t="shared" si="18"/>
        <v>0</v>
      </c>
      <c r="M567" s="237"/>
      <c r="N567" s="614">
        <f t="shared" si="20"/>
        <v>0</v>
      </c>
    </row>
    <row r="568" spans="2:14">
      <c r="B568" s="793">
        <v>556</v>
      </c>
      <c r="C568" s="807"/>
      <c r="D568" s="808"/>
      <c r="E568" s="809"/>
      <c r="F568" s="810"/>
      <c r="G568" s="237"/>
      <c r="H568" s="601">
        <f>IF(Consolidado_Geral!$G$133=7.6%,-(0.0165+0.076)*F568,0)</f>
        <v>0</v>
      </c>
      <c r="I568" s="237"/>
      <c r="J568" s="614">
        <f t="shared" si="19"/>
        <v>0</v>
      </c>
      <c r="K568" s="237"/>
      <c r="L568" s="614">
        <f t="shared" si="18"/>
        <v>0</v>
      </c>
      <c r="M568" s="237"/>
      <c r="N568" s="614">
        <f t="shared" si="20"/>
        <v>0</v>
      </c>
    </row>
    <row r="569" spans="2:14">
      <c r="B569" s="793">
        <v>557</v>
      </c>
      <c r="C569" s="807"/>
      <c r="D569" s="808"/>
      <c r="E569" s="809"/>
      <c r="F569" s="810"/>
      <c r="G569" s="237"/>
      <c r="H569" s="601">
        <f>IF(Consolidado_Geral!$G$133=7.6%,-(0.0165+0.076)*F569,0)</f>
        <v>0</v>
      </c>
      <c r="I569" s="237"/>
      <c r="J569" s="614">
        <f t="shared" si="19"/>
        <v>0</v>
      </c>
      <c r="K569" s="237"/>
      <c r="L569" s="614">
        <f t="shared" si="18"/>
        <v>0</v>
      </c>
      <c r="M569" s="237"/>
      <c r="N569" s="614">
        <f t="shared" si="20"/>
        <v>0</v>
      </c>
    </row>
    <row r="570" spans="2:14">
      <c r="B570" s="793">
        <v>558</v>
      </c>
      <c r="C570" s="807"/>
      <c r="D570" s="808"/>
      <c r="E570" s="809"/>
      <c r="F570" s="810"/>
      <c r="G570" s="237"/>
      <c r="H570" s="601">
        <f>IF(Consolidado_Geral!$G$133=7.6%,-(0.0165+0.076)*F570,0)</f>
        <v>0</v>
      </c>
      <c r="I570" s="237"/>
      <c r="J570" s="614">
        <f t="shared" si="19"/>
        <v>0</v>
      </c>
      <c r="K570" s="237"/>
      <c r="L570" s="614">
        <f t="shared" si="18"/>
        <v>0</v>
      </c>
      <c r="M570" s="237"/>
      <c r="N570" s="614">
        <f t="shared" si="20"/>
        <v>0</v>
      </c>
    </row>
    <row r="571" spans="2:14">
      <c r="B571" s="793">
        <v>559</v>
      </c>
      <c r="C571" s="807"/>
      <c r="D571" s="808"/>
      <c r="E571" s="809"/>
      <c r="F571" s="810"/>
      <c r="G571" s="237"/>
      <c r="H571" s="601">
        <f>IF(Consolidado_Geral!$G$133=7.6%,-(0.0165+0.076)*F571,0)</f>
        <v>0</v>
      </c>
      <c r="I571" s="237"/>
      <c r="J571" s="614">
        <f t="shared" si="19"/>
        <v>0</v>
      </c>
      <c r="K571" s="237"/>
      <c r="L571" s="614">
        <f t="shared" si="18"/>
        <v>0</v>
      </c>
      <c r="M571" s="237"/>
      <c r="N571" s="614">
        <f t="shared" si="20"/>
        <v>0</v>
      </c>
    </row>
    <row r="572" spans="2:14">
      <c r="B572" s="793">
        <v>560</v>
      </c>
      <c r="C572" s="807"/>
      <c r="D572" s="808"/>
      <c r="E572" s="809"/>
      <c r="F572" s="810"/>
      <c r="G572" s="237"/>
      <c r="H572" s="601">
        <f>IF(Consolidado_Geral!$G$133=7.6%,-(0.0165+0.076)*F572,0)</f>
        <v>0</v>
      </c>
      <c r="I572" s="237"/>
      <c r="J572" s="614">
        <f t="shared" si="19"/>
        <v>0</v>
      </c>
      <c r="K572" s="237"/>
      <c r="L572" s="614">
        <f t="shared" si="18"/>
        <v>0</v>
      </c>
      <c r="M572" s="237"/>
      <c r="N572" s="614">
        <f t="shared" si="20"/>
        <v>0</v>
      </c>
    </row>
    <row r="573" spans="2:14">
      <c r="B573" s="793">
        <v>561</v>
      </c>
      <c r="C573" s="807"/>
      <c r="D573" s="808"/>
      <c r="E573" s="809"/>
      <c r="F573" s="810"/>
      <c r="G573" s="237"/>
      <c r="H573" s="601">
        <f>IF(Consolidado_Geral!$G$133=7.6%,-(0.0165+0.076)*F573,0)</f>
        <v>0</v>
      </c>
      <c r="I573" s="237"/>
      <c r="J573" s="614">
        <f t="shared" si="19"/>
        <v>0</v>
      </c>
      <c r="K573" s="237"/>
      <c r="L573" s="614">
        <f t="shared" si="18"/>
        <v>0</v>
      </c>
      <c r="M573" s="237"/>
      <c r="N573" s="614">
        <f t="shared" si="20"/>
        <v>0</v>
      </c>
    </row>
    <row r="574" spans="2:14">
      <c r="B574" s="793">
        <v>562</v>
      </c>
      <c r="C574" s="807"/>
      <c r="D574" s="808"/>
      <c r="E574" s="809"/>
      <c r="F574" s="810"/>
      <c r="G574" s="237"/>
      <c r="H574" s="601">
        <f>IF(Consolidado_Geral!$G$133=7.6%,-(0.0165+0.076)*F574,0)</f>
        <v>0</v>
      </c>
      <c r="I574" s="237"/>
      <c r="J574" s="614">
        <f t="shared" si="19"/>
        <v>0</v>
      </c>
      <c r="K574" s="237"/>
      <c r="L574" s="614">
        <f t="shared" si="18"/>
        <v>0</v>
      </c>
      <c r="M574" s="237"/>
      <c r="N574" s="614">
        <f t="shared" si="20"/>
        <v>0</v>
      </c>
    </row>
    <row r="575" spans="2:14">
      <c r="B575" s="793">
        <v>563</v>
      </c>
      <c r="C575" s="807"/>
      <c r="D575" s="808"/>
      <c r="E575" s="809"/>
      <c r="F575" s="810"/>
      <c r="G575" s="237"/>
      <c r="H575" s="601">
        <f>IF(Consolidado_Geral!$G$133=7.6%,-(0.0165+0.076)*F575,0)</f>
        <v>0</v>
      </c>
      <c r="I575" s="237"/>
      <c r="J575" s="614">
        <f t="shared" si="19"/>
        <v>0</v>
      </c>
      <c r="K575" s="237"/>
      <c r="L575" s="614">
        <f t="shared" si="18"/>
        <v>0</v>
      </c>
      <c r="M575" s="237"/>
      <c r="N575" s="614">
        <f t="shared" si="20"/>
        <v>0</v>
      </c>
    </row>
    <row r="576" spans="2:14">
      <c r="B576" s="793">
        <v>564</v>
      </c>
      <c r="C576" s="807"/>
      <c r="D576" s="808"/>
      <c r="E576" s="809"/>
      <c r="F576" s="810"/>
      <c r="G576" s="237"/>
      <c r="H576" s="601">
        <f>IF(Consolidado_Geral!$G$133=7.6%,-(0.0165+0.076)*F576,0)</f>
        <v>0</v>
      </c>
      <c r="I576" s="237"/>
      <c r="J576" s="614">
        <f t="shared" si="19"/>
        <v>0</v>
      </c>
      <c r="K576" s="237"/>
      <c r="L576" s="614">
        <f t="shared" si="18"/>
        <v>0</v>
      </c>
      <c r="M576" s="237"/>
      <c r="N576" s="614">
        <f t="shared" si="20"/>
        <v>0</v>
      </c>
    </row>
    <row r="577" spans="2:14">
      <c r="B577" s="793">
        <v>565</v>
      </c>
      <c r="C577" s="807"/>
      <c r="D577" s="808"/>
      <c r="E577" s="809"/>
      <c r="F577" s="810"/>
      <c r="G577" s="237"/>
      <c r="H577" s="601">
        <f>IF(Consolidado_Geral!$G$133=7.6%,-(0.0165+0.076)*F577,0)</f>
        <v>0</v>
      </c>
      <c r="I577" s="237"/>
      <c r="J577" s="614">
        <f t="shared" si="19"/>
        <v>0</v>
      </c>
      <c r="K577" s="237"/>
      <c r="L577" s="614">
        <f t="shared" si="18"/>
        <v>0</v>
      </c>
      <c r="M577" s="237"/>
      <c r="N577" s="614">
        <f t="shared" si="20"/>
        <v>0</v>
      </c>
    </row>
    <row r="578" spans="2:14">
      <c r="B578" s="793">
        <v>566</v>
      </c>
      <c r="C578" s="807"/>
      <c r="D578" s="808"/>
      <c r="E578" s="809"/>
      <c r="F578" s="810"/>
      <c r="G578" s="237"/>
      <c r="H578" s="601">
        <f>IF(Consolidado_Geral!$G$133=7.6%,-(0.0165+0.076)*F578,0)</f>
        <v>0</v>
      </c>
      <c r="I578" s="237"/>
      <c r="J578" s="614">
        <f t="shared" si="19"/>
        <v>0</v>
      </c>
      <c r="K578" s="237"/>
      <c r="L578" s="614">
        <f t="shared" si="18"/>
        <v>0</v>
      </c>
      <c r="M578" s="237"/>
      <c r="N578" s="614">
        <f t="shared" si="20"/>
        <v>0</v>
      </c>
    </row>
    <row r="579" spans="2:14">
      <c r="B579" s="793">
        <v>567</v>
      </c>
      <c r="C579" s="807"/>
      <c r="D579" s="808"/>
      <c r="E579" s="809"/>
      <c r="F579" s="810"/>
      <c r="G579" s="237"/>
      <c r="H579" s="601">
        <f>IF(Consolidado_Geral!$G$133=7.6%,-(0.0165+0.076)*F579,0)</f>
        <v>0</v>
      </c>
      <c r="I579" s="237"/>
      <c r="J579" s="614">
        <f t="shared" si="19"/>
        <v>0</v>
      </c>
      <c r="K579" s="237"/>
      <c r="L579" s="614">
        <f t="shared" si="18"/>
        <v>0</v>
      </c>
      <c r="M579" s="237"/>
      <c r="N579" s="614">
        <f t="shared" si="20"/>
        <v>0</v>
      </c>
    </row>
    <row r="580" spans="2:14">
      <c r="B580" s="793">
        <v>568</v>
      </c>
      <c r="C580" s="807"/>
      <c r="D580" s="808"/>
      <c r="E580" s="809"/>
      <c r="F580" s="810"/>
      <c r="G580" s="237"/>
      <c r="H580" s="601">
        <f>IF(Consolidado_Geral!$G$133=7.6%,-(0.0165+0.076)*F580,0)</f>
        <v>0</v>
      </c>
      <c r="I580" s="237"/>
      <c r="J580" s="614">
        <f t="shared" si="19"/>
        <v>0</v>
      </c>
      <c r="K580" s="237"/>
      <c r="L580" s="614">
        <f t="shared" si="18"/>
        <v>0</v>
      </c>
      <c r="M580" s="237"/>
      <c r="N580" s="614">
        <f t="shared" si="20"/>
        <v>0</v>
      </c>
    </row>
    <row r="581" spans="2:14">
      <c r="B581" s="793">
        <v>569</v>
      </c>
      <c r="C581" s="807"/>
      <c r="D581" s="808"/>
      <c r="E581" s="809"/>
      <c r="F581" s="810"/>
      <c r="G581" s="237"/>
      <c r="H581" s="601">
        <f>IF(Consolidado_Geral!$G$133=7.6%,-(0.0165+0.076)*F581,0)</f>
        <v>0</v>
      </c>
      <c r="I581" s="237"/>
      <c r="J581" s="614">
        <f t="shared" si="19"/>
        <v>0</v>
      </c>
      <c r="K581" s="237"/>
      <c r="L581" s="614">
        <f t="shared" si="18"/>
        <v>0</v>
      </c>
      <c r="M581" s="237"/>
      <c r="N581" s="614">
        <f t="shared" si="20"/>
        <v>0</v>
      </c>
    </row>
    <row r="582" spans="2:14">
      <c r="B582" s="793">
        <v>570</v>
      </c>
      <c r="C582" s="807"/>
      <c r="D582" s="808"/>
      <c r="E582" s="809"/>
      <c r="F582" s="810"/>
      <c r="G582" s="237"/>
      <c r="H582" s="601">
        <f>IF(Consolidado_Geral!$G$133=7.6%,-(0.0165+0.076)*F582,0)</f>
        <v>0</v>
      </c>
      <c r="I582" s="237"/>
      <c r="J582" s="614">
        <f t="shared" si="19"/>
        <v>0</v>
      </c>
      <c r="K582" s="237"/>
      <c r="L582" s="614">
        <f t="shared" si="18"/>
        <v>0</v>
      </c>
      <c r="M582" s="237"/>
      <c r="N582" s="614">
        <f t="shared" si="20"/>
        <v>0</v>
      </c>
    </row>
    <row r="583" spans="2:14">
      <c r="B583" s="793">
        <v>571</v>
      </c>
      <c r="C583" s="807"/>
      <c r="D583" s="808"/>
      <c r="E583" s="809"/>
      <c r="F583" s="810"/>
      <c r="G583" s="237"/>
      <c r="H583" s="601">
        <f>IF(Consolidado_Geral!$G$133=7.6%,-(0.0165+0.076)*F583,0)</f>
        <v>0</v>
      </c>
      <c r="I583" s="237"/>
      <c r="J583" s="614">
        <f t="shared" si="19"/>
        <v>0</v>
      </c>
      <c r="K583" s="237"/>
      <c r="L583" s="614">
        <f t="shared" si="18"/>
        <v>0</v>
      </c>
      <c r="M583" s="237"/>
      <c r="N583" s="614">
        <f t="shared" si="20"/>
        <v>0</v>
      </c>
    </row>
    <row r="584" spans="2:14">
      <c r="B584" s="793">
        <v>572</v>
      </c>
      <c r="C584" s="807"/>
      <c r="D584" s="808"/>
      <c r="E584" s="809"/>
      <c r="F584" s="810"/>
      <c r="G584" s="237"/>
      <c r="H584" s="601">
        <f>IF(Consolidado_Geral!$G$133=7.6%,-(0.0165+0.076)*F584,0)</f>
        <v>0</v>
      </c>
      <c r="I584" s="237"/>
      <c r="J584" s="614">
        <f t="shared" si="19"/>
        <v>0</v>
      </c>
      <c r="K584" s="237"/>
      <c r="L584" s="614">
        <f t="shared" si="18"/>
        <v>0</v>
      </c>
      <c r="M584" s="237"/>
      <c r="N584" s="614">
        <f t="shared" si="20"/>
        <v>0</v>
      </c>
    </row>
    <row r="585" spans="2:14">
      <c r="B585" s="793">
        <v>573</v>
      </c>
      <c r="C585" s="807"/>
      <c r="D585" s="808"/>
      <c r="E585" s="809"/>
      <c r="F585" s="810"/>
      <c r="G585" s="237"/>
      <c r="H585" s="601">
        <f>IF(Consolidado_Geral!$G$133=7.6%,-(0.0165+0.076)*F585,0)</f>
        <v>0</v>
      </c>
      <c r="I585" s="237"/>
      <c r="J585" s="614">
        <f t="shared" si="19"/>
        <v>0</v>
      </c>
      <c r="K585" s="237"/>
      <c r="L585" s="614">
        <f t="shared" si="18"/>
        <v>0</v>
      </c>
      <c r="M585" s="237"/>
      <c r="N585" s="614">
        <f t="shared" si="20"/>
        <v>0</v>
      </c>
    </row>
    <row r="586" spans="2:14">
      <c r="B586" s="793">
        <v>574</v>
      </c>
      <c r="C586" s="807"/>
      <c r="D586" s="808"/>
      <c r="E586" s="809"/>
      <c r="F586" s="810"/>
      <c r="G586" s="237"/>
      <c r="H586" s="601">
        <f>IF(Consolidado_Geral!$G$133=7.6%,-(0.0165+0.076)*F586,0)</f>
        <v>0</v>
      </c>
      <c r="I586" s="237"/>
      <c r="J586" s="614">
        <f t="shared" si="19"/>
        <v>0</v>
      </c>
      <c r="K586" s="237"/>
      <c r="L586" s="614">
        <f t="shared" si="18"/>
        <v>0</v>
      </c>
      <c r="M586" s="237"/>
      <c r="N586" s="614">
        <f t="shared" si="20"/>
        <v>0</v>
      </c>
    </row>
    <row r="587" spans="2:14">
      <c r="B587" s="793">
        <v>575</v>
      </c>
      <c r="C587" s="807"/>
      <c r="D587" s="808"/>
      <c r="E587" s="809"/>
      <c r="F587" s="810"/>
      <c r="G587" s="237"/>
      <c r="H587" s="601">
        <f>IF(Consolidado_Geral!$G$133=7.6%,-(0.0165+0.076)*F587,0)</f>
        <v>0</v>
      </c>
      <c r="I587" s="237"/>
      <c r="J587" s="614">
        <f t="shared" si="19"/>
        <v>0</v>
      </c>
      <c r="K587" s="237"/>
      <c r="L587" s="614">
        <f t="shared" si="18"/>
        <v>0</v>
      </c>
      <c r="M587" s="237"/>
      <c r="N587" s="614">
        <f t="shared" si="20"/>
        <v>0</v>
      </c>
    </row>
    <row r="588" spans="2:14">
      <c r="B588" s="793">
        <v>576</v>
      </c>
      <c r="C588" s="807"/>
      <c r="D588" s="808"/>
      <c r="E588" s="809"/>
      <c r="F588" s="810"/>
      <c r="G588" s="237"/>
      <c r="H588" s="601">
        <f>IF(Consolidado_Geral!$G$133=7.6%,-(0.0165+0.076)*F588,0)</f>
        <v>0</v>
      </c>
      <c r="I588" s="237"/>
      <c r="J588" s="614">
        <f t="shared" si="19"/>
        <v>0</v>
      </c>
      <c r="K588" s="237"/>
      <c r="L588" s="614">
        <f t="shared" si="18"/>
        <v>0</v>
      </c>
      <c r="M588" s="237"/>
      <c r="N588" s="614">
        <f t="shared" si="20"/>
        <v>0</v>
      </c>
    </row>
    <row r="589" spans="2:14">
      <c r="B589" s="793">
        <v>577</v>
      </c>
      <c r="C589" s="807"/>
      <c r="D589" s="808"/>
      <c r="E589" s="809"/>
      <c r="F589" s="810"/>
      <c r="G589" s="237"/>
      <c r="H589" s="601">
        <f>IF(Consolidado_Geral!$G$133=7.6%,-(0.0165+0.076)*F589,0)</f>
        <v>0</v>
      </c>
      <c r="I589" s="237"/>
      <c r="J589" s="614">
        <f t="shared" si="19"/>
        <v>0</v>
      </c>
      <c r="K589" s="237"/>
      <c r="L589" s="614">
        <f t="shared" ref="L589:L612" si="21">J589*E589</f>
        <v>0</v>
      </c>
      <c r="M589" s="237"/>
      <c r="N589" s="614">
        <f t="shared" si="20"/>
        <v>0</v>
      </c>
    </row>
    <row r="590" spans="2:14">
      <c r="B590" s="793">
        <v>578</v>
      </c>
      <c r="C590" s="807"/>
      <c r="D590" s="808"/>
      <c r="E590" s="809"/>
      <c r="F590" s="810"/>
      <c r="G590" s="237"/>
      <c r="H590" s="601">
        <f>IF(Consolidado_Geral!$G$133=7.6%,-(0.0165+0.076)*F590,0)</f>
        <v>0</v>
      </c>
      <c r="I590" s="237"/>
      <c r="J590" s="614">
        <f t="shared" si="19"/>
        <v>0</v>
      </c>
      <c r="K590" s="237"/>
      <c r="L590" s="614">
        <f t="shared" si="21"/>
        <v>0</v>
      </c>
      <c r="M590" s="237"/>
      <c r="N590" s="614">
        <f t="shared" si="20"/>
        <v>0</v>
      </c>
    </row>
    <row r="591" spans="2:14">
      <c r="B591" s="793">
        <v>579</v>
      </c>
      <c r="C591" s="807"/>
      <c r="D591" s="808"/>
      <c r="E591" s="809"/>
      <c r="F591" s="810"/>
      <c r="G591" s="237"/>
      <c r="H591" s="601">
        <f>IF(Consolidado_Geral!$G$133=7.6%,-(0.0165+0.076)*F591,0)</f>
        <v>0</v>
      </c>
      <c r="I591" s="237"/>
      <c r="J591" s="614">
        <f t="shared" si="19"/>
        <v>0</v>
      </c>
      <c r="K591" s="237"/>
      <c r="L591" s="614">
        <f t="shared" si="21"/>
        <v>0</v>
      </c>
      <c r="M591" s="237"/>
      <c r="N591" s="614">
        <f t="shared" si="20"/>
        <v>0</v>
      </c>
    </row>
    <row r="592" spans="2:14">
      <c r="B592" s="793">
        <v>580</v>
      </c>
      <c r="C592" s="807"/>
      <c r="D592" s="808"/>
      <c r="E592" s="809"/>
      <c r="F592" s="810"/>
      <c r="G592" s="237"/>
      <c r="H592" s="601">
        <f>IF(Consolidado_Geral!$G$133=7.6%,-(0.0165+0.076)*F592,0)</f>
        <v>0</v>
      </c>
      <c r="I592" s="237"/>
      <c r="J592" s="614">
        <f t="shared" si="19"/>
        <v>0</v>
      </c>
      <c r="K592" s="237"/>
      <c r="L592" s="614">
        <f t="shared" si="21"/>
        <v>0</v>
      </c>
      <c r="M592" s="237"/>
      <c r="N592" s="614">
        <f t="shared" si="20"/>
        <v>0</v>
      </c>
    </row>
    <row r="593" spans="2:14">
      <c r="B593" s="793">
        <v>581</v>
      </c>
      <c r="C593" s="807"/>
      <c r="D593" s="808"/>
      <c r="E593" s="809"/>
      <c r="F593" s="810"/>
      <c r="G593" s="237"/>
      <c r="H593" s="601">
        <f>IF(Consolidado_Geral!$G$133=7.6%,-(0.0165+0.076)*F593,0)</f>
        <v>0</v>
      </c>
      <c r="I593" s="237"/>
      <c r="J593" s="614">
        <f t="shared" si="19"/>
        <v>0</v>
      </c>
      <c r="K593" s="237"/>
      <c r="L593" s="614">
        <f t="shared" si="21"/>
        <v>0</v>
      </c>
      <c r="M593" s="237"/>
      <c r="N593" s="614">
        <f t="shared" si="20"/>
        <v>0</v>
      </c>
    </row>
    <row r="594" spans="2:14">
      <c r="B594" s="793">
        <v>582</v>
      </c>
      <c r="C594" s="807"/>
      <c r="D594" s="808"/>
      <c r="E594" s="809"/>
      <c r="F594" s="810"/>
      <c r="G594" s="237"/>
      <c r="H594" s="601">
        <f>IF(Consolidado_Geral!$G$133=7.6%,-(0.0165+0.076)*F594,0)</f>
        <v>0</v>
      </c>
      <c r="I594" s="237"/>
      <c r="J594" s="614">
        <f t="shared" si="19"/>
        <v>0</v>
      </c>
      <c r="K594" s="237"/>
      <c r="L594" s="614">
        <f t="shared" si="21"/>
        <v>0</v>
      </c>
      <c r="M594" s="237"/>
      <c r="N594" s="614">
        <f t="shared" si="20"/>
        <v>0</v>
      </c>
    </row>
    <row r="595" spans="2:14">
      <c r="B595" s="793">
        <v>583</v>
      </c>
      <c r="C595" s="807"/>
      <c r="D595" s="808"/>
      <c r="E595" s="809"/>
      <c r="F595" s="810"/>
      <c r="G595" s="237"/>
      <c r="H595" s="601">
        <f>IF(Consolidado_Geral!$G$133=7.6%,-(0.0165+0.076)*F595,0)</f>
        <v>0</v>
      </c>
      <c r="I595" s="237"/>
      <c r="J595" s="614">
        <f t="shared" si="19"/>
        <v>0</v>
      </c>
      <c r="K595" s="237"/>
      <c r="L595" s="614">
        <f t="shared" si="21"/>
        <v>0</v>
      </c>
      <c r="M595" s="237"/>
      <c r="N595" s="614">
        <f t="shared" si="20"/>
        <v>0</v>
      </c>
    </row>
    <row r="596" spans="2:14">
      <c r="B596" s="793">
        <v>584</v>
      </c>
      <c r="C596" s="807"/>
      <c r="D596" s="808"/>
      <c r="E596" s="809"/>
      <c r="F596" s="810"/>
      <c r="G596" s="237"/>
      <c r="H596" s="601">
        <f>IF(Consolidado_Geral!$G$133=7.6%,-(0.0165+0.076)*F596,0)</f>
        <v>0</v>
      </c>
      <c r="I596" s="237"/>
      <c r="J596" s="614">
        <f t="shared" si="19"/>
        <v>0</v>
      </c>
      <c r="K596" s="237"/>
      <c r="L596" s="614">
        <f t="shared" si="21"/>
        <v>0</v>
      </c>
      <c r="M596" s="237"/>
      <c r="N596" s="614">
        <f t="shared" si="20"/>
        <v>0</v>
      </c>
    </row>
    <row r="597" spans="2:14">
      <c r="B597" s="793">
        <v>585</v>
      </c>
      <c r="C597" s="807"/>
      <c r="D597" s="808"/>
      <c r="E597" s="809"/>
      <c r="F597" s="810"/>
      <c r="G597" s="237"/>
      <c r="H597" s="601">
        <f>IF(Consolidado_Geral!$G$133=7.6%,-(0.0165+0.076)*F597,0)</f>
        <v>0</v>
      </c>
      <c r="I597" s="237"/>
      <c r="J597" s="614">
        <f t="shared" si="19"/>
        <v>0</v>
      </c>
      <c r="K597" s="237"/>
      <c r="L597" s="614">
        <f t="shared" si="21"/>
        <v>0</v>
      </c>
      <c r="M597" s="237"/>
      <c r="N597" s="614">
        <f t="shared" si="20"/>
        <v>0</v>
      </c>
    </row>
    <row r="598" spans="2:14">
      <c r="B598" s="793">
        <v>586</v>
      </c>
      <c r="C598" s="807"/>
      <c r="D598" s="808"/>
      <c r="E598" s="809"/>
      <c r="F598" s="810"/>
      <c r="G598" s="237"/>
      <c r="H598" s="601">
        <f>IF(Consolidado_Geral!$G$133=7.6%,-(0.0165+0.076)*F598,0)</f>
        <v>0</v>
      </c>
      <c r="I598" s="237"/>
      <c r="J598" s="614">
        <f t="shared" si="19"/>
        <v>0</v>
      </c>
      <c r="K598" s="237"/>
      <c r="L598" s="614">
        <f t="shared" si="21"/>
        <v>0</v>
      </c>
      <c r="M598" s="237"/>
      <c r="N598" s="614">
        <f t="shared" si="20"/>
        <v>0</v>
      </c>
    </row>
    <row r="599" spans="2:14">
      <c r="B599" s="793">
        <v>587</v>
      </c>
      <c r="C599" s="807"/>
      <c r="D599" s="808"/>
      <c r="E599" s="809"/>
      <c r="F599" s="810"/>
      <c r="G599" s="237"/>
      <c r="H599" s="601">
        <f>IF(Consolidado_Geral!$G$133=7.6%,-(0.0165+0.076)*F599,0)</f>
        <v>0</v>
      </c>
      <c r="I599" s="237"/>
      <c r="J599" s="614">
        <f t="shared" si="19"/>
        <v>0</v>
      </c>
      <c r="K599" s="237"/>
      <c r="L599" s="614">
        <f t="shared" si="21"/>
        <v>0</v>
      </c>
      <c r="M599" s="237"/>
      <c r="N599" s="614">
        <f t="shared" si="20"/>
        <v>0</v>
      </c>
    </row>
    <row r="600" spans="2:14">
      <c r="B600" s="793">
        <v>588</v>
      </c>
      <c r="C600" s="807"/>
      <c r="D600" s="808"/>
      <c r="E600" s="809"/>
      <c r="F600" s="810"/>
      <c r="G600" s="237"/>
      <c r="H600" s="601">
        <f>IF(Consolidado_Geral!$G$133=7.6%,-(0.0165+0.076)*F600,0)</f>
        <v>0</v>
      </c>
      <c r="I600" s="237"/>
      <c r="J600" s="614">
        <f t="shared" si="19"/>
        <v>0</v>
      </c>
      <c r="K600" s="237"/>
      <c r="L600" s="614">
        <f t="shared" si="21"/>
        <v>0</v>
      </c>
      <c r="M600" s="237"/>
      <c r="N600" s="614">
        <f t="shared" si="20"/>
        <v>0</v>
      </c>
    </row>
    <row r="601" spans="2:14">
      <c r="B601" s="793">
        <v>589</v>
      </c>
      <c r="C601" s="807"/>
      <c r="D601" s="808"/>
      <c r="E601" s="809"/>
      <c r="F601" s="810"/>
      <c r="G601" s="237"/>
      <c r="H601" s="601">
        <f>IF(Consolidado_Geral!$G$133=7.6%,-(0.0165+0.076)*F601,0)</f>
        <v>0</v>
      </c>
      <c r="I601" s="237"/>
      <c r="J601" s="614">
        <f t="shared" si="19"/>
        <v>0</v>
      </c>
      <c r="K601" s="237"/>
      <c r="L601" s="614">
        <f t="shared" si="21"/>
        <v>0</v>
      </c>
      <c r="M601" s="237"/>
      <c r="N601" s="614">
        <f t="shared" si="20"/>
        <v>0</v>
      </c>
    </row>
    <row r="602" spans="2:14">
      <c r="B602" s="793">
        <v>590</v>
      </c>
      <c r="C602" s="807"/>
      <c r="D602" s="808"/>
      <c r="E602" s="809"/>
      <c r="F602" s="810"/>
      <c r="G602" s="237"/>
      <c r="H602" s="601">
        <f>IF(Consolidado_Geral!$G$133=7.6%,-(0.0165+0.076)*F602,0)</f>
        <v>0</v>
      </c>
      <c r="I602" s="237"/>
      <c r="J602" s="614">
        <f t="shared" si="19"/>
        <v>0</v>
      </c>
      <c r="K602" s="237"/>
      <c r="L602" s="614">
        <f t="shared" si="21"/>
        <v>0</v>
      </c>
      <c r="M602" s="237"/>
      <c r="N602" s="614">
        <f t="shared" si="20"/>
        <v>0</v>
      </c>
    </row>
    <row r="603" spans="2:14">
      <c r="B603" s="793">
        <v>591</v>
      </c>
      <c r="C603" s="807"/>
      <c r="D603" s="808"/>
      <c r="E603" s="809"/>
      <c r="F603" s="810"/>
      <c r="G603" s="237"/>
      <c r="H603" s="601">
        <f>IF(Consolidado_Geral!$G$133=7.6%,-(0.0165+0.076)*F603,0)</f>
        <v>0</v>
      </c>
      <c r="I603" s="237"/>
      <c r="J603" s="614">
        <f t="shared" si="19"/>
        <v>0</v>
      </c>
      <c r="K603" s="237"/>
      <c r="L603" s="614">
        <f t="shared" si="21"/>
        <v>0</v>
      </c>
      <c r="M603" s="237"/>
      <c r="N603" s="614">
        <f t="shared" si="20"/>
        <v>0</v>
      </c>
    </row>
    <row r="604" spans="2:14">
      <c r="B604" s="793">
        <v>592</v>
      </c>
      <c r="C604" s="807"/>
      <c r="D604" s="808"/>
      <c r="E604" s="809"/>
      <c r="F604" s="810"/>
      <c r="G604" s="237"/>
      <c r="H604" s="601">
        <f>IF(Consolidado_Geral!$G$133=7.6%,-(0.0165+0.076)*F604,0)</f>
        <v>0</v>
      </c>
      <c r="I604" s="237"/>
      <c r="J604" s="614">
        <f t="shared" si="19"/>
        <v>0</v>
      </c>
      <c r="K604" s="237"/>
      <c r="L604" s="614">
        <f t="shared" si="21"/>
        <v>0</v>
      </c>
      <c r="M604" s="237"/>
      <c r="N604" s="614">
        <f t="shared" si="20"/>
        <v>0</v>
      </c>
    </row>
    <row r="605" spans="2:14">
      <c r="B605" s="793">
        <v>593</v>
      </c>
      <c r="C605" s="807"/>
      <c r="D605" s="808"/>
      <c r="E605" s="809"/>
      <c r="F605" s="810"/>
      <c r="G605" s="237"/>
      <c r="H605" s="601">
        <f>IF(Consolidado_Geral!$G$133=7.6%,-(0.0165+0.076)*F605,0)</f>
        <v>0</v>
      </c>
      <c r="I605" s="237"/>
      <c r="J605" s="614">
        <f t="shared" si="19"/>
        <v>0</v>
      </c>
      <c r="K605" s="237"/>
      <c r="L605" s="614">
        <f t="shared" si="21"/>
        <v>0</v>
      </c>
      <c r="M605" s="237"/>
      <c r="N605" s="614">
        <f t="shared" si="20"/>
        <v>0</v>
      </c>
    </row>
    <row r="606" spans="2:14">
      <c r="B606" s="793">
        <v>594</v>
      </c>
      <c r="C606" s="807"/>
      <c r="D606" s="808"/>
      <c r="E606" s="809"/>
      <c r="F606" s="810"/>
      <c r="G606" s="237"/>
      <c r="H606" s="601">
        <f>IF(Consolidado_Geral!$G$133=7.6%,-(0.0165+0.076)*F606,0)</f>
        <v>0</v>
      </c>
      <c r="I606" s="237"/>
      <c r="J606" s="614">
        <f t="shared" si="19"/>
        <v>0</v>
      </c>
      <c r="K606" s="237"/>
      <c r="L606" s="614">
        <f t="shared" si="21"/>
        <v>0</v>
      </c>
      <c r="M606" s="237"/>
      <c r="N606" s="614">
        <f t="shared" si="20"/>
        <v>0</v>
      </c>
    </row>
    <row r="607" spans="2:14">
      <c r="B607" s="793">
        <v>595</v>
      </c>
      <c r="C607" s="807"/>
      <c r="D607" s="808"/>
      <c r="E607" s="809"/>
      <c r="F607" s="810"/>
      <c r="G607" s="237"/>
      <c r="H607" s="601">
        <f>IF(Consolidado_Geral!$G$133=7.6%,-(0.0165+0.076)*F607,0)</f>
        <v>0</v>
      </c>
      <c r="I607" s="237"/>
      <c r="J607" s="614">
        <f t="shared" si="19"/>
        <v>0</v>
      </c>
      <c r="K607" s="237"/>
      <c r="L607" s="614">
        <f t="shared" si="21"/>
        <v>0</v>
      </c>
      <c r="M607" s="237"/>
      <c r="N607" s="614">
        <f t="shared" si="20"/>
        <v>0</v>
      </c>
    </row>
    <row r="608" spans="2:14">
      <c r="B608" s="793">
        <v>596</v>
      </c>
      <c r="C608" s="807"/>
      <c r="D608" s="808"/>
      <c r="E608" s="809"/>
      <c r="F608" s="810"/>
      <c r="G608" s="237"/>
      <c r="H608" s="601">
        <f>IF(Consolidado_Geral!$G$133=7.6%,-(0.0165+0.076)*F608,0)</f>
        <v>0</v>
      </c>
      <c r="I608" s="237"/>
      <c r="J608" s="614">
        <f t="shared" si="19"/>
        <v>0</v>
      </c>
      <c r="K608" s="237"/>
      <c r="L608" s="614">
        <f t="shared" si="21"/>
        <v>0</v>
      </c>
      <c r="M608" s="237"/>
      <c r="N608" s="614">
        <f t="shared" si="20"/>
        <v>0</v>
      </c>
    </row>
    <row r="609" spans="2:14">
      <c r="B609" s="793">
        <v>597</v>
      </c>
      <c r="C609" s="807"/>
      <c r="D609" s="808"/>
      <c r="E609" s="809"/>
      <c r="F609" s="810"/>
      <c r="G609" s="237"/>
      <c r="H609" s="601">
        <f>IF(Consolidado_Geral!$G$133=7.6%,-(0.0165+0.076)*F609,0)</f>
        <v>0</v>
      </c>
      <c r="I609" s="237"/>
      <c r="J609" s="614">
        <f t="shared" si="19"/>
        <v>0</v>
      </c>
      <c r="K609" s="237"/>
      <c r="L609" s="614">
        <f t="shared" si="21"/>
        <v>0</v>
      </c>
      <c r="M609" s="237"/>
      <c r="N609" s="614">
        <f t="shared" si="20"/>
        <v>0</v>
      </c>
    </row>
    <row r="610" spans="2:14">
      <c r="B610" s="793">
        <v>598</v>
      </c>
      <c r="C610" s="807"/>
      <c r="D610" s="808"/>
      <c r="E610" s="809"/>
      <c r="F610" s="810"/>
      <c r="G610" s="237"/>
      <c r="H610" s="601">
        <f>IF(Consolidado_Geral!$G$133=7.6%,-(0.0165+0.076)*F610,0)</f>
        <v>0</v>
      </c>
      <c r="I610" s="237"/>
      <c r="J610" s="614">
        <f>F610+H610</f>
        <v>0</v>
      </c>
      <c r="K610" s="237"/>
      <c r="L610" s="614">
        <f t="shared" si="21"/>
        <v>0</v>
      </c>
      <c r="M610" s="237"/>
      <c r="N610" s="614">
        <f>L610*12</f>
        <v>0</v>
      </c>
    </row>
    <row r="611" spans="2:14">
      <c r="B611" s="793">
        <v>599</v>
      </c>
      <c r="C611" s="807"/>
      <c r="D611" s="808"/>
      <c r="E611" s="809"/>
      <c r="F611" s="810"/>
      <c r="G611" s="237"/>
      <c r="H611" s="601">
        <f>IF(Consolidado_Geral!$G$133=7.6%,-(0.0165+0.076)*F611,0)</f>
        <v>0</v>
      </c>
      <c r="I611" s="237"/>
      <c r="J611" s="614">
        <f>F611+H611</f>
        <v>0</v>
      </c>
      <c r="K611" s="237"/>
      <c r="L611" s="614">
        <f t="shared" si="21"/>
        <v>0</v>
      </c>
      <c r="M611" s="237"/>
      <c r="N611" s="614">
        <f>L611*12</f>
        <v>0</v>
      </c>
    </row>
    <row r="612" spans="2:14" ht="13.5" thickBot="1">
      <c r="B612" s="793">
        <v>600</v>
      </c>
      <c r="C612" s="811"/>
      <c r="D612" s="812"/>
      <c r="E612" s="813"/>
      <c r="F612" s="814"/>
      <c r="G612" s="237"/>
      <c r="H612" s="613">
        <f>IF(Consolidado_Geral!$G$133=7.6%,-(0.0165+0.076)*F612,0)</f>
        <v>0</v>
      </c>
      <c r="I612" s="237"/>
      <c r="J612" s="616">
        <f t="shared" si="13"/>
        <v>0</v>
      </c>
      <c r="K612" s="237"/>
      <c r="L612" s="616">
        <f t="shared" si="21"/>
        <v>0</v>
      </c>
      <c r="M612" s="237"/>
      <c r="N612" s="616">
        <f t="shared" si="14"/>
        <v>0</v>
      </c>
    </row>
    <row r="613" spans="2:14" s="817" customFormat="1" ht="13.5" customHeight="1">
      <c r="B613" s="816"/>
      <c r="C613" s="817" t="s">
        <v>246</v>
      </c>
      <c r="E613" s="818"/>
    </row>
    <row r="614" spans="2:14" s="817" customFormat="1" ht="13.5" customHeight="1">
      <c r="B614" s="816"/>
      <c r="C614" s="817" t="s">
        <v>247</v>
      </c>
      <c r="E614" s="818"/>
    </row>
    <row r="615" spans="2:14" s="817" customFormat="1" ht="13.5" customHeight="1">
      <c r="B615" s="816"/>
      <c r="C615" s="817" t="s">
        <v>248</v>
      </c>
      <c r="E615" s="818"/>
    </row>
    <row r="616" spans="2:14" s="817" customFormat="1" ht="13.5" customHeight="1">
      <c r="B616" s="816"/>
      <c r="C616" s="817" t="s">
        <v>249</v>
      </c>
      <c r="E616" s="818"/>
    </row>
    <row r="617" spans="2:14" s="817" customFormat="1" ht="13.5" customHeight="1">
      <c r="B617" s="816"/>
      <c r="C617" s="817" t="s">
        <v>250</v>
      </c>
      <c r="E617" s="818"/>
    </row>
    <row r="618" spans="2:14" s="817" customFormat="1" ht="13.5" customHeight="1">
      <c r="B618" s="816"/>
      <c r="C618" s="817" t="s">
        <v>251</v>
      </c>
      <c r="E618" s="818"/>
    </row>
    <row r="619" spans="2:14" s="817" customFormat="1" ht="13.5" customHeight="1">
      <c r="B619" s="816"/>
      <c r="C619" s="817" t="s">
        <v>252</v>
      </c>
      <c r="E619" s="818"/>
    </row>
    <row r="620" spans="2:14" s="817" customFormat="1">
      <c r="B620" s="816"/>
      <c r="C620" s="817" t="s">
        <v>253</v>
      </c>
      <c r="E620" s="818"/>
    </row>
    <row r="621" spans="2:14" s="817" customFormat="1">
      <c r="B621" s="816"/>
      <c r="C621" s="817" t="s">
        <v>254</v>
      </c>
      <c r="E621" s="818"/>
    </row>
    <row r="622" spans="2:14" s="817" customFormat="1">
      <c r="B622" s="816"/>
      <c r="C622" s="817" t="s">
        <v>255</v>
      </c>
      <c r="E622" s="818"/>
    </row>
    <row r="623" spans="2:14" s="817" customFormat="1">
      <c r="B623" s="816"/>
      <c r="C623" s="817" t="s">
        <v>256</v>
      </c>
      <c r="E623" s="818"/>
    </row>
    <row r="624" spans="2:14" s="817" customFormat="1">
      <c r="B624" s="816"/>
      <c r="C624" s="817" t="s">
        <v>257</v>
      </c>
      <c r="E624" s="818"/>
    </row>
    <row r="625" spans="2:5" s="817" customFormat="1">
      <c r="B625" s="816"/>
      <c r="C625" s="817" t="s">
        <v>258</v>
      </c>
      <c r="E625" s="818"/>
    </row>
    <row r="626" spans="2:5" s="817" customFormat="1">
      <c r="B626" s="816"/>
      <c r="C626" s="817" t="s">
        <v>259</v>
      </c>
      <c r="E626" s="818"/>
    </row>
    <row r="627" spans="2:5" s="817" customFormat="1">
      <c r="B627" s="816"/>
      <c r="C627" s="817" t="s">
        <v>260</v>
      </c>
      <c r="E627" s="818"/>
    </row>
    <row r="628" spans="2:5" s="817" customFormat="1">
      <c r="B628" s="816"/>
      <c r="C628" s="817" t="s">
        <v>261</v>
      </c>
      <c r="E628" s="818"/>
    </row>
    <row r="629" spans="2:5" s="817" customFormat="1">
      <c r="B629" s="816"/>
      <c r="C629" s="817" t="s">
        <v>262</v>
      </c>
      <c r="E629" s="818"/>
    </row>
    <row r="630" spans="2:5" s="817" customFormat="1">
      <c r="B630" s="816"/>
      <c r="C630" s="817" t="s">
        <v>263</v>
      </c>
      <c r="E630" s="818"/>
    </row>
    <row r="631" spans="2:5" s="817" customFormat="1">
      <c r="B631" s="816"/>
      <c r="C631" s="817" t="s">
        <v>264</v>
      </c>
      <c r="E631" s="818"/>
    </row>
    <row r="632" spans="2:5" s="817" customFormat="1">
      <c r="B632" s="816"/>
      <c r="C632" s="817" t="s">
        <v>265</v>
      </c>
      <c r="E632" s="818"/>
    </row>
    <row r="633" spans="2:5" s="817" customFormat="1">
      <c r="B633" s="816"/>
      <c r="C633" s="817" t="s">
        <v>266</v>
      </c>
      <c r="E633" s="818"/>
    </row>
    <row r="634" spans="2:5" s="817" customFormat="1">
      <c r="B634" s="816"/>
      <c r="C634" s="817" t="s">
        <v>267</v>
      </c>
      <c r="E634" s="818"/>
    </row>
    <row r="635" spans="2:5" s="817" customFormat="1">
      <c r="B635" s="816"/>
      <c r="C635" s="817" t="s">
        <v>268</v>
      </c>
      <c r="E635" s="818"/>
    </row>
    <row r="636" spans="2:5" s="817" customFormat="1">
      <c r="B636" s="816"/>
      <c r="C636" s="817" t="s">
        <v>269</v>
      </c>
      <c r="E636" s="818"/>
    </row>
    <row r="637" spans="2:5" s="817" customFormat="1">
      <c r="B637" s="816"/>
      <c r="C637" s="817" t="s">
        <v>270</v>
      </c>
      <c r="E637" s="818"/>
    </row>
    <row r="638" spans="2:5" s="817" customFormat="1">
      <c r="B638" s="816"/>
      <c r="C638" s="817" t="s">
        <v>271</v>
      </c>
      <c r="E638" s="818"/>
    </row>
    <row r="639" spans="2:5" s="817" customFormat="1">
      <c r="B639" s="816"/>
      <c r="C639" s="817" t="s">
        <v>272</v>
      </c>
      <c r="E639" s="818"/>
    </row>
    <row r="640" spans="2:5" s="817" customFormat="1">
      <c r="B640" s="816"/>
      <c r="C640" s="817" t="s">
        <v>273</v>
      </c>
      <c r="E640" s="818"/>
    </row>
    <row r="641" spans="2:5" s="817" customFormat="1">
      <c r="B641" s="816"/>
      <c r="C641" s="817" t="s">
        <v>274</v>
      </c>
      <c r="E641" s="818"/>
    </row>
    <row r="642" spans="2:5" s="817" customFormat="1">
      <c r="B642" s="816"/>
      <c r="C642" s="817" t="s">
        <v>275</v>
      </c>
      <c r="E642" s="818"/>
    </row>
    <row r="643" spans="2:5" s="817" customFormat="1">
      <c r="B643" s="816"/>
      <c r="C643" s="817" t="s">
        <v>276</v>
      </c>
      <c r="E643" s="818"/>
    </row>
    <row r="644" spans="2:5" s="817" customFormat="1">
      <c r="B644" s="816"/>
      <c r="C644" s="817" t="s">
        <v>277</v>
      </c>
      <c r="E644" s="818"/>
    </row>
    <row r="645" spans="2:5" s="817" customFormat="1">
      <c r="B645" s="816"/>
      <c r="C645" s="817" t="s">
        <v>278</v>
      </c>
      <c r="E645" s="818"/>
    </row>
    <row r="646" spans="2:5" s="817" customFormat="1">
      <c r="B646" s="816"/>
      <c r="C646" s="817" t="s">
        <v>279</v>
      </c>
      <c r="E646" s="818"/>
    </row>
    <row r="647" spans="2:5" s="817" customFormat="1">
      <c r="B647" s="816"/>
      <c r="C647" s="817" t="s">
        <v>280</v>
      </c>
      <c r="E647" s="818"/>
    </row>
    <row r="648" spans="2:5" s="817" customFormat="1">
      <c r="B648" s="816"/>
      <c r="C648" s="817" t="s">
        <v>281</v>
      </c>
      <c r="E648" s="818"/>
    </row>
    <row r="649" spans="2:5" s="817" customFormat="1">
      <c r="B649" s="816"/>
      <c r="C649" s="817" t="s">
        <v>282</v>
      </c>
      <c r="E649" s="818"/>
    </row>
    <row r="650" spans="2:5" s="817" customFormat="1">
      <c r="B650" s="816"/>
      <c r="C650" s="817" t="s">
        <v>283</v>
      </c>
      <c r="E650" s="818"/>
    </row>
    <row r="651" spans="2:5" s="817" customFormat="1">
      <c r="B651" s="816"/>
      <c r="C651" s="817" t="s">
        <v>284</v>
      </c>
      <c r="E651" s="818"/>
    </row>
    <row r="652" spans="2:5" s="817" customFormat="1">
      <c r="B652" s="816"/>
      <c r="C652" s="817" t="s">
        <v>285</v>
      </c>
      <c r="E652" s="818"/>
    </row>
    <row r="653" spans="2:5" s="817" customFormat="1">
      <c r="B653" s="816"/>
      <c r="C653" s="817" t="s">
        <v>286</v>
      </c>
      <c r="E653" s="818"/>
    </row>
    <row r="654" spans="2:5" s="817" customFormat="1">
      <c r="B654" s="816"/>
      <c r="C654" s="817" t="s">
        <v>287</v>
      </c>
      <c r="E654" s="818"/>
    </row>
    <row r="655" spans="2:5" s="817" customFormat="1">
      <c r="B655" s="816"/>
      <c r="C655" s="817" t="s">
        <v>288</v>
      </c>
      <c r="E655" s="818"/>
    </row>
    <row r="656" spans="2:5" s="817" customFormat="1">
      <c r="B656" s="816"/>
      <c r="C656" s="817" t="s">
        <v>289</v>
      </c>
      <c r="E656" s="818"/>
    </row>
    <row r="657" spans="2:5" s="817" customFormat="1">
      <c r="B657" s="816"/>
      <c r="C657" s="817" t="s">
        <v>290</v>
      </c>
      <c r="E657" s="818"/>
    </row>
    <row r="658" spans="2:5" s="817" customFormat="1">
      <c r="B658" s="816"/>
      <c r="C658" s="817" t="s">
        <v>291</v>
      </c>
      <c r="E658" s="818"/>
    </row>
    <row r="659" spans="2:5" s="817" customFormat="1">
      <c r="B659" s="816"/>
      <c r="C659" s="817" t="s">
        <v>292</v>
      </c>
      <c r="E659" s="818"/>
    </row>
    <row r="660" spans="2:5" s="817" customFormat="1">
      <c r="B660" s="816"/>
      <c r="C660" s="817" t="s">
        <v>293</v>
      </c>
      <c r="E660" s="818"/>
    </row>
    <row r="661" spans="2:5" s="817" customFormat="1">
      <c r="B661" s="816"/>
      <c r="C661" s="817" t="s">
        <v>294</v>
      </c>
      <c r="E661" s="818"/>
    </row>
    <row r="662" spans="2:5" s="817" customFormat="1">
      <c r="B662" s="816"/>
      <c r="C662" s="817" t="s">
        <v>295</v>
      </c>
      <c r="E662" s="818"/>
    </row>
    <row r="663" spans="2:5" s="817" customFormat="1">
      <c r="B663" s="816"/>
      <c r="C663" s="817" t="s">
        <v>296</v>
      </c>
      <c r="E663" s="818"/>
    </row>
    <row r="664" spans="2:5" s="817" customFormat="1">
      <c r="B664" s="816"/>
      <c r="C664" s="817" t="s">
        <v>297</v>
      </c>
      <c r="E664" s="818"/>
    </row>
    <row r="665" spans="2:5" s="817" customFormat="1">
      <c r="B665" s="816"/>
      <c r="C665" s="817" t="s">
        <v>298</v>
      </c>
      <c r="E665" s="818"/>
    </row>
    <row r="666" spans="2:5" s="817" customFormat="1">
      <c r="B666" s="816"/>
      <c r="C666" s="817" t="s">
        <v>299</v>
      </c>
      <c r="E666" s="818"/>
    </row>
    <row r="667" spans="2:5" s="817" customFormat="1">
      <c r="B667" s="816"/>
      <c r="C667" s="817" t="s">
        <v>300</v>
      </c>
      <c r="E667" s="818"/>
    </row>
    <row r="668" spans="2:5" s="817" customFormat="1">
      <c r="B668" s="816"/>
      <c r="C668" s="817" t="s">
        <v>301</v>
      </c>
      <c r="E668" s="818"/>
    </row>
    <row r="669" spans="2:5" s="817" customFormat="1">
      <c r="B669" s="816"/>
      <c r="C669" s="817" t="s">
        <v>302</v>
      </c>
      <c r="E669" s="818"/>
    </row>
    <row r="670" spans="2:5" s="817" customFormat="1">
      <c r="B670" s="816"/>
      <c r="C670" s="817" t="s">
        <v>303</v>
      </c>
      <c r="E670" s="818"/>
    </row>
    <row r="671" spans="2:5" s="817" customFormat="1">
      <c r="B671" s="816"/>
      <c r="C671" s="817" t="s">
        <v>304</v>
      </c>
      <c r="E671" s="818"/>
    </row>
    <row r="672" spans="2:5" s="817" customFormat="1">
      <c r="B672" s="816"/>
      <c r="C672" s="817" t="s">
        <v>305</v>
      </c>
      <c r="E672" s="818"/>
    </row>
    <row r="673" spans="2:5" s="817" customFormat="1">
      <c r="B673" s="816"/>
      <c r="C673" s="817" t="s">
        <v>306</v>
      </c>
      <c r="E673" s="818"/>
    </row>
    <row r="674" spans="2:5" s="817" customFormat="1">
      <c r="B674" s="816"/>
      <c r="C674" s="817" t="s">
        <v>307</v>
      </c>
      <c r="E674" s="818"/>
    </row>
    <row r="675" spans="2:5" s="817" customFormat="1">
      <c r="B675" s="816"/>
      <c r="C675" s="817" t="s">
        <v>308</v>
      </c>
      <c r="E675" s="818"/>
    </row>
    <row r="676" spans="2:5" s="817" customFormat="1">
      <c r="B676" s="816"/>
      <c r="C676" s="817" t="s">
        <v>309</v>
      </c>
      <c r="E676" s="818"/>
    </row>
    <row r="677" spans="2:5" s="817" customFormat="1">
      <c r="B677" s="816"/>
      <c r="C677" s="817" t="s">
        <v>310</v>
      </c>
      <c r="E677" s="818"/>
    </row>
    <row r="678" spans="2:5" s="817" customFormat="1" hidden="1">
      <c r="B678" s="816"/>
      <c r="C678" s="817" t="s">
        <v>311</v>
      </c>
      <c r="E678" s="818"/>
    </row>
    <row r="679" spans="2:5" s="817" customFormat="1" hidden="1">
      <c r="B679" s="816"/>
      <c r="C679" s="817" t="s">
        <v>312</v>
      </c>
      <c r="E679" s="818"/>
    </row>
    <row r="680" spans="2:5" s="817" customFormat="1" hidden="1">
      <c r="B680" s="816"/>
      <c r="C680" s="817" t="s">
        <v>313</v>
      </c>
      <c r="E680" s="818"/>
    </row>
    <row r="681" spans="2:5" s="817" customFormat="1" hidden="1">
      <c r="B681" s="816"/>
      <c r="C681" s="817" t="s">
        <v>314</v>
      </c>
      <c r="E681" s="818"/>
    </row>
    <row r="682" spans="2:5" s="817" customFormat="1" hidden="1">
      <c r="B682" s="816"/>
      <c r="C682" s="817" t="s">
        <v>315</v>
      </c>
      <c r="E682" s="818"/>
    </row>
    <row r="683" spans="2:5" s="817" customFormat="1" hidden="1">
      <c r="B683" s="816"/>
      <c r="C683" s="817" t="s">
        <v>316</v>
      </c>
      <c r="E683" s="818"/>
    </row>
    <row r="684" spans="2:5" s="817" customFormat="1" hidden="1">
      <c r="B684" s="816"/>
      <c r="C684" s="817" t="s">
        <v>317</v>
      </c>
      <c r="E684" s="818"/>
    </row>
    <row r="685" spans="2:5" s="817" customFormat="1" hidden="1">
      <c r="B685" s="816"/>
      <c r="C685" s="817" t="s">
        <v>318</v>
      </c>
      <c r="E685" s="818"/>
    </row>
    <row r="686" spans="2:5" s="817" customFormat="1" hidden="1">
      <c r="B686" s="816"/>
      <c r="C686" s="817" t="s">
        <v>319</v>
      </c>
      <c r="E686" s="818"/>
    </row>
    <row r="687" spans="2:5" s="817" customFormat="1" hidden="1">
      <c r="B687" s="816"/>
      <c r="C687" s="817" t="s">
        <v>320</v>
      </c>
      <c r="E687" s="818"/>
    </row>
    <row r="688" spans="2:5" s="817" customFormat="1" hidden="1">
      <c r="B688" s="816"/>
      <c r="C688" s="817" t="s">
        <v>321</v>
      </c>
      <c r="E688" s="818"/>
    </row>
    <row r="689" spans="2:5" s="817" customFormat="1" hidden="1">
      <c r="B689" s="816"/>
      <c r="C689" s="817" t="s">
        <v>322</v>
      </c>
      <c r="E689" s="818"/>
    </row>
    <row r="690" spans="2:5" s="817" customFormat="1" hidden="1">
      <c r="B690" s="816"/>
      <c r="C690" s="817" t="s">
        <v>323</v>
      </c>
      <c r="E690" s="818"/>
    </row>
    <row r="691" spans="2:5" s="817" customFormat="1" hidden="1">
      <c r="B691" s="816"/>
      <c r="C691" s="817" t="s">
        <v>324</v>
      </c>
      <c r="E691" s="818"/>
    </row>
    <row r="692" spans="2:5" s="817" customFormat="1" hidden="1">
      <c r="B692" s="816"/>
      <c r="C692" s="817" t="s">
        <v>325</v>
      </c>
      <c r="E692" s="818"/>
    </row>
    <row r="693" spans="2:5" s="817" customFormat="1" hidden="1">
      <c r="B693" s="816"/>
      <c r="C693" s="817" t="s">
        <v>326</v>
      </c>
      <c r="E693" s="818"/>
    </row>
    <row r="694" spans="2:5" s="817" customFormat="1" hidden="1">
      <c r="B694" s="816"/>
      <c r="C694" s="817" t="s">
        <v>327</v>
      </c>
      <c r="E694" s="818"/>
    </row>
    <row r="695" spans="2:5" s="817" customFormat="1" hidden="1">
      <c r="B695" s="816"/>
      <c r="C695" s="817" t="s">
        <v>328</v>
      </c>
      <c r="E695" s="818"/>
    </row>
    <row r="696" spans="2:5" s="817" customFormat="1" hidden="1">
      <c r="B696" s="816"/>
      <c r="C696" s="817" t="s">
        <v>329</v>
      </c>
      <c r="E696" s="818"/>
    </row>
    <row r="697" spans="2:5" s="817" customFormat="1" hidden="1">
      <c r="B697" s="816"/>
      <c r="C697" s="817" t="s">
        <v>330</v>
      </c>
      <c r="E697" s="818"/>
    </row>
    <row r="698" spans="2:5" s="817" customFormat="1" hidden="1">
      <c r="B698" s="816"/>
      <c r="C698" s="817" t="s">
        <v>331</v>
      </c>
      <c r="E698" s="818"/>
    </row>
    <row r="699" spans="2:5" s="817" customFormat="1" hidden="1">
      <c r="B699" s="816"/>
      <c r="C699" s="817" t="s">
        <v>332</v>
      </c>
      <c r="E699" s="818"/>
    </row>
    <row r="700" spans="2:5" s="817" customFormat="1" hidden="1">
      <c r="B700" s="816"/>
      <c r="C700" s="817" t="s">
        <v>333</v>
      </c>
      <c r="E700" s="818"/>
    </row>
    <row r="701" spans="2:5" s="817" customFormat="1" hidden="1">
      <c r="B701" s="816"/>
      <c r="C701" s="817" t="s">
        <v>334</v>
      </c>
      <c r="E701" s="818"/>
    </row>
    <row r="702" spans="2:5" s="817" customFormat="1" hidden="1">
      <c r="B702" s="816"/>
      <c r="C702" s="817" t="s">
        <v>335</v>
      </c>
      <c r="E702" s="818"/>
    </row>
    <row r="703" spans="2:5" s="817" customFormat="1" hidden="1">
      <c r="B703" s="816"/>
      <c r="C703" s="817" t="s">
        <v>336</v>
      </c>
      <c r="E703" s="818"/>
    </row>
    <row r="704" spans="2:5" s="817" customFormat="1" hidden="1">
      <c r="B704" s="816"/>
      <c r="C704" s="817" t="s">
        <v>337</v>
      </c>
      <c r="E704" s="818"/>
    </row>
    <row r="705" spans="2:5" s="817" customFormat="1" hidden="1">
      <c r="B705" s="816"/>
      <c r="C705" s="817" t="s">
        <v>338</v>
      </c>
      <c r="E705" s="818"/>
    </row>
    <row r="706" spans="2:5" s="817" customFormat="1" hidden="1">
      <c r="B706" s="816"/>
      <c r="C706" s="817" t="s">
        <v>339</v>
      </c>
      <c r="E706" s="818"/>
    </row>
    <row r="707" spans="2:5" s="817" customFormat="1" hidden="1">
      <c r="B707" s="816"/>
      <c r="C707" s="817" t="s">
        <v>340</v>
      </c>
      <c r="E707" s="818"/>
    </row>
    <row r="708" spans="2:5" s="817" customFormat="1" hidden="1">
      <c r="B708" s="816"/>
      <c r="C708" s="817" t="s">
        <v>341</v>
      </c>
      <c r="E708" s="818"/>
    </row>
    <row r="709" spans="2:5" s="817" customFormat="1" hidden="1">
      <c r="B709" s="816"/>
      <c r="C709" s="817" t="s">
        <v>342</v>
      </c>
      <c r="E709" s="818"/>
    </row>
    <row r="710" spans="2:5" s="817" customFormat="1" hidden="1">
      <c r="B710" s="816"/>
      <c r="C710" s="817" t="s">
        <v>343</v>
      </c>
      <c r="E710" s="818"/>
    </row>
    <row r="711" spans="2:5" s="817" customFormat="1" hidden="1">
      <c r="B711" s="816"/>
      <c r="C711" s="817" t="s">
        <v>344</v>
      </c>
      <c r="E711" s="818"/>
    </row>
    <row r="712" spans="2:5" s="817" customFormat="1" hidden="1">
      <c r="B712" s="816"/>
      <c r="C712" s="817" t="s">
        <v>345</v>
      </c>
      <c r="E712" s="818"/>
    </row>
    <row r="713" spans="2:5" s="817" customFormat="1" hidden="1">
      <c r="B713" s="816"/>
      <c r="C713" s="817" t="s">
        <v>346</v>
      </c>
      <c r="E713" s="818"/>
    </row>
    <row r="714" spans="2:5" s="817" customFormat="1" hidden="1">
      <c r="B714" s="816"/>
      <c r="C714" s="817" t="s">
        <v>347</v>
      </c>
      <c r="E714" s="818"/>
    </row>
    <row r="715" spans="2:5" s="817" customFormat="1" hidden="1">
      <c r="B715" s="816"/>
      <c r="C715" s="817" t="s">
        <v>348</v>
      </c>
      <c r="E715" s="818"/>
    </row>
    <row r="716" spans="2:5" s="817" customFormat="1" hidden="1">
      <c r="B716" s="816"/>
      <c r="C716" s="817" t="s">
        <v>349</v>
      </c>
      <c r="E716" s="818"/>
    </row>
    <row r="717" spans="2:5" s="817" customFormat="1" hidden="1">
      <c r="B717" s="816"/>
      <c r="C717" s="817" t="s">
        <v>350</v>
      </c>
      <c r="E717" s="818"/>
    </row>
    <row r="718" spans="2:5" s="817" customFormat="1" hidden="1">
      <c r="B718" s="816"/>
      <c r="C718" s="817" t="s">
        <v>351</v>
      </c>
      <c r="E718" s="818"/>
    </row>
    <row r="719" spans="2:5" s="817" customFormat="1" hidden="1">
      <c r="B719" s="816"/>
      <c r="C719" s="817" t="s">
        <v>352</v>
      </c>
      <c r="E719" s="818"/>
    </row>
    <row r="720" spans="2:5" s="817" customFormat="1" hidden="1">
      <c r="B720" s="816"/>
      <c r="C720" s="817" t="s">
        <v>353</v>
      </c>
      <c r="E720" s="818"/>
    </row>
    <row r="721" spans="2:5" s="817" customFormat="1" hidden="1">
      <c r="B721" s="816"/>
      <c r="C721" s="817" t="s">
        <v>354</v>
      </c>
      <c r="E721" s="818"/>
    </row>
    <row r="722" spans="2:5" s="817" customFormat="1" hidden="1">
      <c r="B722" s="816"/>
      <c r="C722" s="817" t="s">
        <v>355</v>
      </c>
      <c r="E722" s="818"/>
    </row>
    <row r="723" spans="2:5" s="817" customFormat="1" hidden="1">
      <c r="B723" s="816"/>
      <c r="C723" s="817" t="s">
        <v>356</v>
      </c>
      <c r="E723" s="818"/>
    </row>
    <row r="724" spans="2:5" s="817" customFormat="1" hidden="1">
      <c r="B724" s="816"/>
      <c r="C724" s="817" t="s">
        <v>357</v>
      </c>
      <c r="E724" s="818"/>
    </row>
    <row r="725" spans="2:5" s="817" customFormat="1" hidden="1">
      <c r="B725" s="816"/>
      <c r="C725" s="817" t="s">
        <v>358</v>
      </c>
      <c r="E725" s="818"/>
    </row>
    <row r="726" spans="2:5" s="817" customFormat="1" hidden="1">
      <c r="B726" s="816"/>
      <c r="C726" s="817" t="s">
        <v>359</v>
      </c>
      <c r="E726" s="818"/>
    </row>
    <row r="727" spans="2:5" s="817" customFormat="1" hidden="1">
      <c r="B727" s="816"/>
      <c r="C727" s="817" t="s">
        <v>360</v>
      </c>
      <c r="E727" s="818"/>
    </row>
    <row r="728" spans="2:5" s="817" customFormat="1" hidden="1">
      <c r="B728" s="816"/>
      <c r="C728" s="817" t="s">
        <v>361</v>
      </c>
      <c r="E728" s="818"/>
    </row>
    <row r="729" spans="2:5" s="817" customFormat="1" hidden="1">
      <c r="B729" s="816"/>
      <c r="C729" s="817" t="s">
        <v>362</v>
      </c>
      <c r="E729" s="818"/>
    </row>
    <row r="730" spans="2:5" s="817" customFormat="1" hidden="1">
      <c r="B730" s="816"/>
      <c r="C730" s="817" t="s">
        <v>363</v>
      </c>
      <c r="E730" s="818"/>
    </row>
    <row r="731" spans="2:5" s="817" customFormat="1" hidden="1">
      <c r="B731" s="816"/>
      <c r="C731" s="817" t="s">
        <v>364</v>
      </c>
      <c r="E731" s="818"/>
    </row>
    <row r="732" spans="2:5" s="817" customFormat="1" hidden="1">
      <c r="B732" s="816"/>
      <c r="C732" s="817" t="s">
        <v>365</v>
      </c>
      <c r="E732" s="818"/>
    </row>
    <row r="733" spans="2:5" s="817" customFormat="1" hidden="1">
      <c r="B733" s="816"/>
      <c r="C733" s="817" t="s">
        <v>366</v>
      </c>
      <c r="E733" s="818"/>
    </row>
    <row r="734" spans="2:5" s="817" customFormat="1" hidden="1">
      <c r="B734" s="816"/>
      <c r="C734" s="817" t="s">
        <v>367</v>
      </c>
      <c r="E734" s="818"/>
    </row>
    <row r="735" spans="2:5" s="817" customFormat="1" hidden="1">
      <c r="B735" s="816"/>
      <c r="C735" s="817" t="s">
        <v>368</v>
      </c>
      <c r="E735" s="818"/>
    </row>
    <row r="736" spans="2:5" s="817" customFormat="1" hidden="1">
      <c r="B736" s="816"/>
      <c r="C736" s="817" t="s">
        <v>284</v>
      </c>
      <c r="E736" s="818"/>
    </row>
    <row r="737" spans="2:5" s="817" customFormat="1" hidden="1">
      <c r="B737" s="816"/>
      <c r="C737" s="817" t="s">
        <v>369</v>
      </c>
      <c r="E737" s="818"/>
    </row>
    <row r="738" spans="2:5" s="817" customFormat="1" hidden="1">
      <c r="B738" s="816"/>
      <c r="C738" s="817" t="s">
        <v>370</v>
      </c>
      <c r="E738" s="818"/>
    </row>
    <row r="739" spans="2:5" s="817" customFormat="1" hidden="1">
      <c r="B739" s="816"/>
      <c r="C739" s="817" t="s">
        <v>371</v>
      </c>
      <c r="E739" s="818"/>
    </row>
    <row r="740" spans="2:5" s="817" customFormat="1" hidden="1">
      <c r="B740" s="816"/>
      <c r="C740" s="817" t="s">
        <v>372</v>
      </c>
      <c r="E740" s="818"/>
    </row>
    <row r="741" spans="2:5" s="817" customFormat="1" hidden="1">
      <c r="B741" s="816"/>
      <c r="C741" s="817" t="s">
        <v>373</v>
      </c>
      <c r="E741" s="818"/>
    </row>
    <row r="742" spans="2:5" s="817" customFormat="1" hidden="1">
      <c r="B742" s="816"/>
      <c r="C742" s="817" t="s">
        <v>374</v>
      </c>
      <c r="E742" s="818"/>
    </row>
    <row r="743" spans="2:5" s="817" customFormat="1" hidden="1">
      <c r="B743" s="816"/>
      <c r="C743" s="817" t="s">
        <v>375</v>
      </c>
      <c r="E743" s="818"/>
    </row>
    <row r="744" spans="2:5" s="817" customFormat="1" hidden="1">
      <c r="B744" s="816"/>
      <c r="C744" s="817" t="s">
        <v>376</v>
      </c>
      <c r="E744" s="818"/>
    </row>
    <row r="745" spans="2:5" s="817" customFormat="1" hidden="1">
      <c r="B745" s="816"/>
      <c r="C745" s="817" t="s">
        <v>377</v>
      </c>
      <c r="E745" s="818"/>
    </row>
    <row r="746" spans="2:5" s="817" customFormat="1" hidden="1">
      <c r="B746" s="816"/>
      <c r="C746" s="817" t="s">
        <v>378</v>
      </c>
      <c r="E746" s="818"/>
    </row>
    <row r="747" spans="2:5" s="817" customFormat="1" hidden="1">
      <c r="B747" s="816"/>
      <c r="C747" s="817" t="s">
        <v>379</v>
      </c>
      <c r="E747" s="818"/>
    </row>
    <row r="748" spans="2:5" s="817" customFormat="1" hidden="1">
      <c r="B748" s="816"/>
      <c r="C748" s="817" t="s">
        <v>380</v>
      </c>
      <c r="E748" s="818"/>
    </row>
    <row r="749" spans="2:5" s="817" customFormat="1" hidden="1">
      <c r="B749" s="816"/>
      <c r="C749" s="817" t="s">
        <v>381</v>
      </c>
      <c r="E749" s="818"/>
    </row>
    <row r="750" spans="2:5" s="817" customFormat="1" hidden="1">
      <c r="B750" s="816"/>
      <c r="C750" s="817" t="s">
        <v>382</v>
      </c>
      <c r="E750" s="818"/>
    </row>
    <row r="751" spans="2:5" s="817" customFormat="1" hidden="1">
      <c r="B751" s="816"/>
      <c r="C751" s="817" t="s">
        <v>383</v>
      </c>
      <c r="E751" s="818"/>
    </row>
    <row r="752" spans="2:5" s="817" customFormat="1" hidden="1">
      <c r="B752" s="816"/>
      <c r="C752" s="817" t="s">
        <v>384</v>
      </c>
      <c r="E752" s="818"/>
    </row>
    <row r="753" spans="2:5" s="817" customFormat="1" hidden="1">
      <c r="B753" s="816"/>
      <c r="C753" s="817" t="s">
        <v>385</v>
      </c>
      <c r="E753" s="818"/>
    </row>
    <row r="754" spans="2:5" s="817" customFormat="1" hidden="1">
      <c r="B754" s="816"/>
      <c r="C754" s="817" t="s">
        <v>386</v>
      </c>
      <c r="E754" s="818"/>
    </row>
    <row r="755" spans="2:5" s="817" customFormat="1" hidden="1">
      <c r="B755" s="816"/>
      <c r="C755" s="817" t="s">
        <v>387</v>
      </c>
      <c r="E755" s="818"/>
    </row>
    <row r="756" spans="2:5" s="817" customFormat="1" hidden="1">
      <c r="B756" s="816"/>
      <c r="C756" s="817" t="s">
        <v>388</v>
      </c>
      <c r="E756" s="818"/>
    </row>
    <row r="757" spans="2:5" s="817" customFormat="1" hidden="1">
      <c r="B757" s="816"/>
      <c r="C757" s="817" t="s">
        <v>389</v>
      </c>
      <c r="E757" s="818"/>
    </row>
    <row r="758" spans="2:5" s="817" customFormat="1" hidden="1">
      <c r="B758" s="816"/>
      <c r="C758" s="817" t="s">
        <v>390</v>
      </c>
      <c r="E758" s="818"/>
    </row>
    <row r="759" spans="2:5" s="817" customFormat="1" hidden="1">
      <c r="B759" s="816"/>
      <c r="C759" s="817" t="s">
        <v>391</v>
      </c>
      <c r="E759" s="818"/>
    </row>
    <row r="760" spans="2:5" s="817" customFormat="1" hidden="1">
      <c r="B760" s="816"/>
      <c r="C760" s="817" t="s">
        <v>392</v>
      </c>
      <c r="E760" s="818"/>
    </row>
    <row r="761" spans="2:5" s="817" customFormat="1" hidden="1">
      <c r="B761" s="816"/>
      <c r="C761" s="817" t="s">
        <v>393</v>
      </c>
      <c r="E761" s="818"/>
    </row>
    <row r="762" spans="2:5" hidden="1"/>
    <row r="763" spans="2:5" hidden="1"/>
    <row r="764" spans="2:5" hidden="1"/>
    <row r="765" spans="2:5" hidden="1"/>
    <row r="766" spans="2:5" hidden="1"/>
    <row r="767" spans="2:5" hidden="1"/>
    <row r="768" spans="2:5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</sheetData>
  <sheetProtection password="CADB" sheet="1" objects="1" scenarios="1" formatCells="0" formatColumns="0" formatRows="0"/>
  <dataConsolidate/>
  <mergeCells count="1">
    <mergeCell ref="C5:N5"/>
  </mergeCells>
  <phoneticPr fontId="0" type="noConversion"/>
  <printOptions horizontalCentered="1"/>
  <pageMargins left="0.34" right="0.2" top="0.74803149606299213" bottom="0.91" header="0.39370078740157483" footer="0.51181102362204722"/>
  <pageSetup paperSize="9" scale="75" orientation="portrait" blackAndWhite="1" r:id="rId1"/>
  <headerFooter alignWithMargins="0">
    <oddFooter>&amp;R&amp;F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  <pageSetUpPr autoPageBreaks="0"/>
  </sheetPr>
  <dimension ref="B1:S475"/>
  <sheetViews>
    <sheetView showGridLines="0" workbookViewId="0">
      <pane ySplit="9" topLeftCell="A10" activePane="bottomLeft" state="frozenSplit"/>
      <selection pane="bottomLeft" activeCell="K465" sqref="K465"/>
    </sheetView>
  </sheetViews>
  <sheetFormatPr defaultRowHeight="12.75"/>
  <cols>
    <col min="1" max="1" width="1.5703125" style="490" customWidth="1"/>
    <col min="2" max="2" width="3.28515625" style="511" customWidth="1"/>
    <col min="3" max="3" width="36.5703125" style="512" customWidth="1"/>
    <col min="4" max="4" width="6.5703125" style="490" customWidth="1"/>
    <col min="5" max="5" width="7.5703125" style="513" customWidth="1"/>
    <col min="6" max="6" width="9.140625" style="490"/>
    <col min="7" max="7" width="1" style="490" customWidth="1"/>
    <col min="8" max="8" width="10.28515625" style="490" customWidth="1"/>
    <col min="9" max="9" width="1.85546875" style="490" customWidth="1"/>
    <col min="10" max="10" width="9" style="490" customWidth="1"/>
    <col min="11" max="11" width="9.5703125" style="490" customWidth="1"/>
    <col min="12" max="12" width="1.85546875" style="490" customWidth="1"/>
    <col min="13" max="13" width="10.140625" style="490" customWidth="1"/>
    <col min="14" max="14" width="1.85546875" style="490" customWidth="1"/>
    <col min="15" max="15" width="10.85546875" style="490" customWidth="1"/>
    <col min="16" max="16" width="1.7109375" style="490" customWidth="1"/>
    <col min="17" max="17" width="9.7109375" style="490" customWidth="1"/>
    <col min="18" max="18" width="1.7109375" style="490" customWidth="1"/>
    <col min="19" max="19" width="7.7109375" style="490" customWidth="1"/>
    <col min="20" max="16384" width="9.140625" style="490"/>
  </cols>
  <sheetData>
    <row r="1" spans="2:19" ht="9" customHeight="1"/>
    <row r="2" spans="2:19" ht="32.25" customHeight="1">
      <c r="C2" s="906" t="s">
        <v>176</v>
      </c>
      <c r="E2" s="490"/>
    </row>
    <row r="3" spans="2:19" ht="8.25" customHeight="1"/>
    <row r="4" spans="2:19" ht="16.5" customHeight="1" thickBot="1">
      <c r="C4" s="536"/>
      <c r="D4" s="537"/>
      <c r="E4" s="537"/>
      <c r="F4" s="537"/>
      <c r="G4" s="537"/>
      <c r="H4" s="537" t="s">
        <v>15</v>
      </c>
      <c r="I4" s="537"/>
      <c r="J4" s="537"/>
      <c r="K4" s="537"/>
      <c r="L4" s="537"/>
      <c r="M4" s="537"/>
      <c r="N4" s="537"/>
      <c r="O4" s="537"/>
      <c r="P4" s="538"/>
      <c r="Q4" s="538"/>
      <c r="R4" s="538"/>
      <c r="S4" s="539"/>
    </row>
    <row r="5" spans="2:19" ht="9" customHeight="1">
      <c r="D5" s="514"/>
    </row>
    <row r="6" spans="2:19" s="515" customFormat="1" ht="38.25" customHeight="1" thickBot="1">
      <c r="B6" s="511"/>
      <c r="C6" s="529" t="s">
        <v>87</v>
      </c>
      <c r="D6" s="530" t="s">
        <v>105</v>
      </c>
      <c r="E6" s="531" t="s">
        <v>65</v>
      </c>
      <c r="F6" s="530" t="s">
        <v>187</v>
      </c>
      <c r="G6" s="532"/>
      <c r="H6" s="530" t="s">
        <v>127</v>
      </c>
      <c r="I6" s="532"/>
      <c r="J6" s="530" t="s">
        <v>494</v>
      </c>
      <c r="K6" s="530" t="s">
        <v>180</v>
      </c>
      <c r="L6" s="533"/>
      <c r="M6" s="530" t="s">
        <v>104</v>
      </c>
      <c r="N6" s="532"/>
      <c r="O6" s="530" t="s">
        <v>103</v>
      </c>
      <c r="P6" s="534"/>
      <c r="Q6" s="530" t="s">
        <v>405</v>
      </c>
      <c r="R6" s="534"/>
      <c r="S6" s="535" t="s">
        <v>406</v>
      </c>
    </row>
    <row r="7" spans="2:19" s="515" customFormat="1" ht="9" customHeight="1">
      <c r="B7" s="511"/>
      <c r="C7" s="516"/>
      <c r="D7" s="517"/>
      <c r="E7" s="518"/>
      <c r="F7" s="517"/>
      <c r="G7" s="519"/>
      <c r="H7" s="517"/>
      <c r="I7" s="519"/>
      <c r="J7" s="517"/>
      <c r="K7" s="517"/>
      <c r="L7" s="520"/>
      <c r="M7" s="517"/>
      <c r="N7" s="519"/>
      <c r="O7" s="517"/>
      <c r="P7" s="521"/>
      <c r="Q7" s="521"/>
      <c r="R7" s="521"/>
      <c r="S7" s="517"/>
    </row>
    <row r="8" spans="2:19" s="515" customFormat="1" ht="17.25" customHeight="1" thickBot="1">
      <c r="B8" s="511"/>
      <c r="C8" s="516"/>
      <c r="D8" s="517"/>
      <c r="E8" s="518"/>
      <c r="F8" s="517"/>
      <c r="G8" s="519"/>
      <c r="H8" s="517"/>
      <c r="I8" s="519"/>
      <c r="J8" s="517"/>
      <c r="K8" s="560" t="s">
        <v>4</v>
      </c>
      <c r="L8" s="520"/>
      <c r="M8" s="559">
        <f>TRUNC((SUM(M13:M462)),2)</f>
        <v>0</v>
      </c>
      <c r="N8" s="490"/>
      <c r="O8" s="559">
        <f>TRUNC((SUM(O13:O462)),2)</f>
        <v>0</v>
      </c>
      <c r="P8" s="490"/>
      <c r="Q8" s="490"/>
      <c r="R8" s="490"/>
      <c r="S8" s="559">
        <f>TRUNC((SUM(S13:S462)),2)</f>
        <v>0</v>
      </c>
    </row>
    <row r="9" spans="2:19" s="527" customFormat="1" ht="8.25" customHeight="1">
      <c r="B9" s="511"/>
      <c r="C9" s="522"/>
      <c r="D9" s="523"/>
      <c r="E9" s="524"/>
      <c r="F9" s="523"/>
      <c r="G9" s="525"/>
      <c r="H9" s="523"/>
      <c r="I9" s="525"/>
      <c r="J9" s="523"/>
      <c r="K9" s="523"/>
      <c r="L9" s="526"/>
      <c r="M9" s="523"/>
      <c r="N9" s="525"/>
      <c r="O9" s="523"/>
      <c r="P9" s="490"/>
      <c r="Q9" s="490"/>
      <c r="R9" s="490"/>
      <c r="S9" s="523"/>
    </row>
    <row r="10" spans="2:19" s="527" customFormat="1" ht="15.75" customHeight="1">
      <c r="B10" s="511"/>
      <c r="C10" s="522"/>
      <c r="D10" s="523"/>
      <c r="E10" s="524"/>
      <c r="F10" s="523"/>
      <c r="G10" s="525"/>
      <c r="H10" s="523"/>
      <c r="I10" s="525"/>
      <c r="J10" s="523"/>
      <c r="K10" s="523"/>
      <c r="L10" s="526"/>
      <c r="M10" s="523"/>
      <c r="N10" s="525"/>
      <c r="O10" s="528"/>
      <c r="P10" s="490"/>
      <c r="Q10" s="490"/>
      <c r="R10" s="490"/>
    </row>
    <row r="11" spans="2:19" ht="5.25" customHeight="1">
      <c r="P11" s="496"/>
      <c r="Q11" s="496"/>
      <c r="R11" s="496"/>
    </row>
    <row r="12" spans="2:19" ht="5.25" customHeight="1">
      <c r="P12" s="496"/>
      <c r="Q12" s="496"/>
      <c r="R12" s="496"/>
    </row>
    <row r="13" spans="2:19">
      <c r="B13" s="511">
        <v>1</v>
      </c>
      <c r="C13" s="540" t="s">
        <v>649</v>
      </c>
      <c r="D13" s="541" t="s">
        <v>661</v>
      </c>
      <c r="E13" s="542">
        <v>10</v>
      </c>
      <c r="F13" s="543"/>
      <c r="G13" s="36"/>
      <c r="H13" s="554">
        <f>IF(Consolidado_Geral!$G$133=7.6%,-(0.0165+0.076)*F13,0)</f>
        <v>0</v>
      </c>
      <c r="I13" s="36"/>
      <c r="J13" s="548"/>
      <c r="K13" s="549">
        <v>12</v>
      </c>
      <c r="L13" s="496"/>
      <c r="M13" s="557">
        <f>IF(E13&gt;0,(F13+H13)-J13,0)</f>
        <v>0</v>
      </c>
      <c r="N13" s="556"/>
      <c r="O13" s="557">
        <f t="shared" ref="O13:O76" si="0">IF(E13=0,0,(M13/K13)*E13)</f>
        <v>0</v>
      </c>
      <c r="P13" s="496"/>
      <c r="Q13" s="552"/>
      <c r="R13" s="496"/>
      <c r="S13" s="557">
        <f>E13*(M13*Q13)</f>
        <v>0</v>
      </c>
    </row>
    <row r="14" spans="2:19">
      <c r="B14" s="511">
        <v>2</v>
      </c>
      <c r="C14" s="540" t="s">
        <v>650</v>
      </c>
      <c r="D14" s="541" t="s">
        <v>661</v>
      </c>
      <c r="E14" s="542">
        <v>10</v>
      </c>
      <c r="F14" s="543"/>
      <c r="G14" s="36"/>
      <c r="H14" s="554">
        <f>IF(Consolidado_Geral!$G$133=7.6%,-(0.0165+0.076)*F14,0)</f>
        <v>0</v>
      </c>
      <c r="I14" s="36"/>
      <c r="J14" s="548"/>
      <c r="K14" s="549">
        <v>12</v>
      </c>
      <c r="L14" s="496"/>
      <c r="M14" s="557">
        <f t="shared" ref="M14:M77" si="1">IF(E14&gt;0,(F14+H14)-J14,0)</f>
        <v>0</v>
      </c>
      <c r="N14" s="556"/>
      <c r="O14" s="557">
        <f t="shared" si="0"/>
        <v>0</v>
      </c>
      <c r="P14" s="496"/>
      <c r="Q14" s="552"/>
      <c r="R14" s="496"/>
      <c r="S14" s="557">
        <f t="shared" ref="S14:S77" si="2">E14*(M14*Q14)</f>
        <v>0</v>
      </c>
    </row>
    <row r="15" spans="2:19">
      <c r="B15" s="511">
        <v>3</v>
      </c>
      <c r="C15" s="540" t="s">
        <v>651</v>
      </c>
      <c r="D15" s="541" t="s">
        <v>661</v>
      </c>
      <c r="E15" s="542">
        <v>25</v>
      </c>
      <c r="F15" s="543"/>
      <c r="G15" s="36"/>
      <c r="H15" s="554">
        <f>IF(Consolidado_Geral!$G$133=7.6%,-(0.0165+0.076)*F15,0)</f>
        <v>0</v>
      </c>
      <c r="I15" s="36"/>
      <c r="J15" s="548"/>
      <c r="K15" s="549">
        <v>12</v>
      </c>
      <c r="L15" s="496"/>
      <c r="M15" s="557">
        <f t="shared" si="1"/>
        <v>0</v>
      </c>
      <c r="N15" s="556"/>
      <c r="O15" s="557">
        <f t="shared" si="0"/>
        <v>0</v>
      </c>
      <c r="P15" s="496"/>
      <c r="Q15" s="552"/>
      <c r="R15" s="496"/>
      <c r="S15" s="557">
        <f t="shared" si="2"/>
        <v>0</v>
      </c>
    </row>
    <row r="16" spans="2:19">
      <c r="B16" s="511">
        <v>4</v>
      </c>
      <c r="C16" s="540" t="s">
        <v>652</v>
      </c>
      <c r="D16" s="541" t="s">
        <v>661</v>
      </c>
      <c r="E16" s="542">
        <v>10</v>
      </c>
      <c r="F16" s="543"/>
      <c r="G16" s="36"/>
      <c r="H16" s="554">
        <f>IF(Consolidado_Geral!$G$133=7.6%,-(0.0165+0.076)*F16,0)</f>
        <v>0</v>
      </c>
      <c r="I16" s="36"/>
      <c r="J16" s="548"/>
      <c r="K16" s="549">
        <v>1</v>
      </c>
      <c r="L16" s="496"/>
      <c r="M16" s="557">
        <f t="shared" si="1"/>
        <v>0</v>
      </c>
      <c r="N16" s="556"/>
      <c r="O16" s="557">
        <f t="shared" si="0"/>
        <v>0</v>
      </c>
      <c r="P16" s="496"/>
      <c r="Q16" s="552"/>
      <c r="R16" s="496"/>
      <c r="S16" s="557">
        <f t="shared" si="2"/>
        <v>0</v>
      </c>
    </row>
    <row r="17" spans="2:19">
      <c r="B17" s="511">
        <v>5</v>
      </c>
      <c r="C17" s="540" t="s">
        <v>653</v>
      </c>
      <c r="D17" s="541" t="s">
        <v>661</v>
      </c>
      <c r="E17" s="542">
        <v>9</v>
      </c>
      <c r="F17" s="543"/>
      <c r="G17" s="36"/>
      <c r="H17" s="554">
        <f>IF(Consolidado_Geral!$G$133=7.6%,-(0.0165+0.076)*F17,0)</f>
        <v>0</v>
      </c>
      <c r="I17" s="36"/>
      <c r="J17" s="548"/>
      <c r="K17" s="549">
        <v>60</v>
      </c>
      <c r="L17" s="496"/>
      <c r="M17" s="557">
        <f t="shared" si="1"/>
        <v>0</v>
      </c>
      <c r="N17" s="556"/>
      <c r="O17" s="557">
        <f t="shared" si="0"/>
        <v>0</v>
      </c>
      <c r="P17" s="496"/>
      <c r="Q17" s="552"/>
      <c r="R17" s="496"/>
      <c r="S17" s="557">
        <f t="shared" si="2"/>
        <v>0</v>
      </c>
    </row>
    <row r="18" spans="2:19">
      <c r="B18" s="511">
        <v>6</v>
      </c>
      <c r="C18" s="540" t="s">
        <v>654</v>
      </c>
      <c r="D18" s="541" t="s">
        <v>661</v>
      </c>
      <c r="E18" s="542">
        <v>5</v>
      </c>
      <c r="F18" s="543"/>
      <c r="G18" s="36"/>
      <c r="H18" s="554">
        <f>IF(Consolidado_Geral!$G$133=7.6%,-(0.0165+0.076)*F18,0)</f>
        <v>0</v>
      </c>
      <c r="I18" s="36"/>
      <c r="J18" s="548"/>
      <c r="K18" s="549">
        <v>60</v>
      </c>
      <c r="L18" s="496"/>
      <c r="M18" s="557">
        <f t="shared" si="1"/>
        <v>0</v>
      </c>
      <c r="N18" s="556"/>
      <c r="O18" s="557">
        <f t="shared" si="0"/>
        <v>0</v>
      </c>
      <c r="P18" s="496"/>
      <c r="Q18" s="552"/>
      <c r="R18" s="496"/>
      <c r="S18" s="557">
        <f t="shared" si="2"/>
        <v>0</v>
      </c>
    </row>
    <row r="19" spans="2:19" ht="15.75" customHeight="1">
      <c r="B19" s="511">
        <v>7</v>
      </c>
      <c r="C19" s="540" t="s">
        <v>655</v>
      </c>
      <c r="D19" s="541" t="s">
        <v>661</v>
      </c>
      <c r="E19" s="542">
        <v>5</v>
      </c>
      <c r="F19" s="543"/>
      <c r="G19" s="36"/>
      <c r="H19" s="554">
        <f>IF(Consolidado_Geral!$G$133=7.6%,-(0.0165+0.076)*F19,0)</f>
        <v>0</v>
      </c>
      <c r="I19" s="36"/>
      <c r="J19" s="548"/>
      <c r="K19" s="549">
        <v>60</v>
      </c>
      <c r="L19" s="496"/>
      <c r="M19" s="557">
        <f t="shared" si="1"/>
        <v>0</v>
      </c>
      <c r="N19" s="556"/>
      <c r="O19" s="557">
        <f t="shared" si="0"/>
        <v>0</v>
      </c>
      <c r="P19" s="496"/>
      <c r="Q19" s="552"/>
      <c r="R19" s="496"/>
      <c r="S19" s="557">
        <f t="shared" si="2"/>
        <v>0</v>
      </c>
    </row>
    <row r="20" spans="2:19">
      <c r="B20" s="511">
        <v>8</v>
      </c>
      <c r="C20" s="540" t="s">
        <v>656</v>
      </c>
      <c r="D20" s="541" t="s">
        <v>661</v>
      </c>
      <c r="E20" s="542">
        <v>5</v>
      </c>
      <c r="F20" s="543"/>
      <c r="G20" s="36"/>
      <c r="H20" s="554">
        <f>IF(Consolidado_Geral!$G$133=7.6%,-(0.0165+0.076)*F20,0)</f>
        <v>0</v>
      </c>
      <c r="I20" s="36"/>
      <c r="J20" s="548"/>
      <c r="K20" s="549">
        <v>60</v>
      </c>
      <c r="L20" s="496"/>
      <c r="M20" s="557">
        <f t="shared" si="1"/>
        <v>0</v>
      </c>
      <c r="N20" s="556"/>
      <c r="O20" s="557">
        <f t="shared" si="0"/>
        <v>0</v>
      </c>
      <c r="P20" s="496"/>
      <c r="Q20" s="552"/>
      <c r="R20" s="496"/>
      <c r="S20" s="557">
        <f t="shared" si="2"/>
        <v>0</v>
      </c>
    </row>
    <row r="21" spans="2:19">
      <c r="B21" s="511">
        <v>9</v>
      </c>
      <c r="C21" s="540" t="s">
        <v>657</v>
      </c>
      <c r="D21" s="541" t="s">
        <v>661</v>
      </c>
      <c r="E21" s="542">
        <v>10</v>
      </c>
      <c r="F21" s="543"/>
      <c r="G21" s="36"/>
      <c r="H21" s="554">
        <f>IF(Consolidado_Geral!$G$133=7.6%,-(0.0165+0.076)*F21,0)</f>
        <v>0</v>
      </c>
      <c r="I21" s="36"/>
      <c r="J21" s="548"/>
      <c r="K21" s="549">
        <v>60</v>
      </c>
      <c r="L21" s="496"/>
      <c r="M21" s="557">
        <f t="shared" si="1"/>
        <v>0</v>
      </c>
      <c r="N21" s="556"/>
      <c r="O21" s="557">
        <f t="shared" si="0"/>
        <v>0</v>
      </c>
      <c r="P21" s="496"/>
      <c r="Q21" s="552"/>
      <c r="R21" s="496"/>
      <c r="S21" s="557">
        <f t="shared" si="2"/>
        <v>0</v>
      </c>
    </row>
    <row r="22" spans="2:19">
      <c r="B22" s="511">
        <v>10</v>
      </c>
      <c r="C22" s="540" t="s">
        <v>658</v>
      </c>
      <c r="D22" s="541" t="s">
        <v>661</v>
      </c>
      <c r="E22" s="542">
        <v>60</v>
      </c>
      <c r="F22" s="543"/>
      <c r="G22" s="36"/>
      <c r="H22" s="554">
        <f>IF(Consolidado_Geral!$G$133=7.6%,-(0.0165+0.076)*F22,0)</f>
        <v>0</v>
      </c>
      <c r="I22" s="36"/>
      <c r="J22" s="548"/>
      <c r="K22" s="549">
        <v>12</v>
      </c>
      <c r="L22" s="496"/>
      <c r="M22" s="557">
        <f t="shared" si="1"/>
        <v>0</v>
      </c>
      <c r="N22" s="556"/>
      <c r="O22" s="557">
        <f t="shared" si="0"/>
        <v>0</v>
      </c>
      <c r="P22" s="496"/>
      <c r="Q22" s="552"/>
      <c r="R22" s="496"/>
      <c r="S22" s="557">
        <f t="shared" si="2"/>
        <v>0</v>
      </c>
    </row>
    <row r="23" spans="2:19">
      <c r="B23" s="511">
        <v>11</v>
      </c>
      <c r="C23" s="540" t="s">
        <v>659</v>
      </c>
      <c r="D23" s="541" t="s">
        <v>661</v>
      </c>
      <c r="E23" s="542">
        <v>43</v>
      </c>
      <c r="F23" s="543"/>
      <c r="G23" s="36"/>
      <c r="H23" s="554">
        <f>IF(Consolidado_Geral!$G$133=7.6%,-(0.0165+0.076)*F23,0)</f>
        <v>0</v>
      </c>
      <c r="I23" s="36"/>
      <c r="J23" s="548"/>
      <c r="K23" s="549">
        <v>60</v>
      </c>
      <c r="L23" s="496"/>
      <c r="M23" s="557">
        <f t="shared" si="1"/>
        <v>0</v>
      </c>
      <c r="N23" s="556"/>
      <c r="O23" s="557">
        <f t="shared" si="0"/>
        <v>0</v>
      </c>
      <c r="P23" s="496"/>
      <c r="Q23" s="552"/>
      <c r="R23" s="496"/>
      <c r="S23" s="557">
        <f t="shared" si="2"/>
        <v>0</v>
      </c>
    </row>
    <row r="24" spans="2:19">
      <c r="B24" s="511">
        <v>12</v>
      </c>
      <c r="C24" s="540" t="s">
        <v>660</v>
      </c>
      <c r="D24" s="541" t="s">
        <v>661</v>
      </c>
      <c r="E24" s="542">
        <v>5</v>
      </c>
      <c r="F24" s="543"/>
      <c r="G24" s="36"/>
      <c r="H24" s="554">
        <f>IF(Consolidado_Geral!$G$133=7.6%,-(0.0165+0.076)*F24,0)</f>
        <v>0</v>
      </c>
      <c r="I24" s="36"/>
      <c r="J24" s="548"/>
      <c r="K24" s="549">
        <v>12</v>
      </c>
      <c r="L24" s="496"/>
      <c r="M24" s="557">
        <f t="shared" si="1"/>
        <v>0</v>
      </c>
      <c r="N24" s="556"/>
      <c r="O24" s="557">
        <f t="shared" si="0"/>
        <v>0</v>
      </c>
      <c r="P24" s="496"/>
      <c r="Q24" s="552"/>
      <c r="R24" s="496"/>
      <c r="S24" s="557">
        <f t="shared" si="2"/>
        <v>0</v>
      </c>
    </row>
    <row r="25" spans="2:19">
      <c r="B25" s="511">
        <v>13</v>
      </c>
      <c r="C25" s="540"/>
      <c r="D25" s="541"/>
      <c r="E25" s="542"/>
      <c r="F25" s="543"/>
      <c r="G25" s="36"/>
      <c r="H25" s="554">
        <f>IF(Consolidado_Geral!$G$133=7.6%,-(0.0165+0.076)*F25,0)</f>
        <v>0</v>
      </c>
      <c r="I25" s="36"/>
      <c r="J25" s="548"/>
      <c r="K25" s="549"/>
      <c r="L25" s="496"/>
      <c r="M25" s="557">
        <f t="shared" si="1"/>
        <v>0</v>
      </c>
      <c r="N25" s="556"/>
      <c r="O25" s="557">
        <f t="shared" si="0"/>
        <v>0</v>
      </c>
      <c r="Q25" s="552"/>
      <c r="S25" s="557">
        <f t="shared" si="2"/>
        <v>0</v>
      </c>
    </row>
    <row r="26" spans="2:19" hidden="1">
      <c r="B26" s="511">
        <v>14</v>
      </c>
      <c r="C26" s="540"/>
      <c r="D26" s="541"/>
      <c r="E26" s="542"/>
      <c r="F26" s="543"/>
      <c r="G26" s="36"/>
      <c r="H26" s="554">
        <f>IF(Consolidado_Geral!$G$133=7.6%,-(0.0165+0.076)*F26,0)</f>
        <v>0</v>
      </c>
      <c r="I26" s="36"/>
      <c r="J26" s="548"/>
      <c r="K26" s="549"/>
      <c r="L26" s="496"/>
      <c r="M26" s="557">
        <f t="shared" si="1"/>
        <v>0</v>
      </c>
      <c r="N26" s="556"/>
      <c r="O26" s="557">
        <f t="shared" si="0"/>
        <v>0</v>
      </c>
      <c r="Q26" s="552"/>
      <c r="S26" s="557">
        <f t="shared" si="2"/>
        <v>0</v>
      </c>
    </row>
    <row r="27" spans="2:19" hidden="1">
      <c r="B27" s="511">
        <v>15</v>
      </c>
      <c r="C27" s="540"/>
      <c r="D27" s="541"/>
      <c r="E27" s="542"/>
      <c r="F27" s="543"/>
      <c r="G27" s="36"/>
      <c r="H27" s="554">
        <f>IF(Consolidado_Geral!$G$133=7.6%,-(0.0165+0.076)*F27,0)</f>
        <v>0</v>
      </c>
      <c r="I27" s="36"/>
      <c r="J27" s="548"/>
      <c r="K27" s="549"/>
      <c r="L27" s="496"/>
      <c r="M27" s="557">
        <f t="shared" si="1"/>
        <v>0</v>
      </c>
      <c r="N27" s="556"/>
      <c r="O27" s="557">
        <f t="shared" si="0"/>
        <v>0</v>
      </c>
      <c r="Q27" s="552"/>
      <c r="S27" s="557">
        <f t="shared" si="2"/>
        <v>0</v>
      </c>
    </row>
    <row r="28" spans="2:19" hidden="1">
      <c r="B28" s="511">
        <v>16</v>
      </c>
      <c r="C28" s="540"/>
      <c r="D28" s="541"/>
      <c r="E28" s="542"/>
      <c r="F28" s="543"/>
      <c r="G28" s="36"/>
      <c r="H28" s="554">
        <f>IF(Consolidado_Geral!$G$133=7.6%,-(0.0165+0.076)*F28,0)</f>
        <v>0</v>
      </c>
      <c r="I28" s="36"/>
      <c r="J28" s="548"/>
      <c r="K28" s="549"/>
      <c r="L28" s="496"/>
      <c r="M28" s="557">
        <f t="shared" si="1"/>
        <v>0</v>
      </c>
      <c r="N28" s="556"/>
      <c r="O28" s="557">
        <f t="shared" si="0"/>
        <v>0</v>
      </c>
      <c r="Q28" s="552"/>
      <c r="S28" s="557">
        <f t="shared" si="2"/>
        <v>0</v>
      </c>
    </row>
    <row r="29" spans="2:19" hidden="1">
      <c r="B29" s="511">
        <v>17</v>
      </c>
      <c r="C29" s="540"/>
      <c r="D29" s="541"/>
      <c r="E29" s="542"/>
      <c r="F29" s="543"/>
      <c r="G29" s="36"/>
      <c r="H29" s="554">
        <f>IF(Consolidado_Geral!$G$133=7.6%,-(0.0165+0.076)*F29,0)</f>
        <v>0</v>
      </c>
      <c r="I29" s="36"/>
      <c r="J29" s="548"/>
      <c r="K29" s="549"/>
      <c r="L29" s="496"/>
      <c r="M29" s="557">
        <f t="shared" si="1"/>
        <v>0</v>
      </c>
      <c r="N29" s="556"/>
      <c r="O29" s="557">
        <f t="shared" si="0"/>
        <v>0</v>
      </c>
      <c r="Q29" s="552"/>
      <c r="S29" s="557">
        <f t="shared" si="2"/>
        <v>0</v>
      </c>
    </row>
    <row r="30" spans="2:19" hidden="1">
      <c r="B30" s="511">
        <v>18</v>
      </c>
      <c r="C30" s="540"/>
      <c r="D30" s="541"/>
      <c r="E30" s="542"/>
      <c r="F30" s="543"/>
      <c r="G30" s="36"/>
      <c r="H30" s="554">
        <f>IF(Consolidado_Geral!$G$133=7.6%,-(0.0165+0.076)*F30,0)</f>
        <v>0</v>
      </c>
      <c r="I30" s="36"/>
      <c r="J30" s="548"/>
      <c r="K30" s="549"/>
      <c r="L30" s="496"/>
      <c r="M30" s="557">
        <f t="shared" si="1"/>
        <v>0</v>
      </c>
      <c r="N30" s="556"/>
      <c r="O30" s="557">
        <f t="shared" si="0"/>
        <v>0</v>
      </c>
      <c r="Q30" s="552"/>
      <c r="S30" s="557">
        <f t="shared" si="2"/>
        <v>0</v>
      </c>
    </row>
    <row r="31" spans="2:19" hidden="1">
      <c r="B31" s="511">
        <v>19</v>
      </c>
      <c r="C31" s="540"/>
      <c r="D31" s="541"/>
      <c r="E31" s="542"/>
      <c r="F31" s="543"/>
      <c r="G31" s="36"/>
      <c r="H31" s="554">
        <f>IF(Consolidado_Geral!$G$133=7.6%,-(0.0165+0.076)*F31,0)</f>
        <v>0</v>
      </c>
      <c r="I31" s="36"/>
      <c r="J31" s="548"/>
      <c r="K31" s="549"/>
      <c r="L31" s="496"/>
      <c r="M31" s="557">
        <f t="shared" si="1"/>
        <v>0</v>
      </c>
      <c r="N31" s="556"/>
      <c r="O31" s="557">
        <f t="shared" si="0"/>
        <v>0</v>
      </c>
      <c r="Q31" s="552"/>
      <c r="S31" s="557">
        <f t="shared" si="2"/>
        <v>0</v>
      </c>
    </row>
    <row r="32" spans="2:19" hidden="1">
      <c r="B32" s="511">
        <v>20</v>
      </c>
      <c r="C32" s="540"/>
      <c r="D32" s="541"/>
      <c r="E32" s="542"/>
      <c r="F32" s="543"/>
      <c r="G32" s="36"/>
      <c r="H32" s="554">
        <f>IF(Consolidado_Geral!$G$133=7.6%,-(0.0165+0.076)*F32,0)</f>
        <v>0</v>
      </c>
      <c r="I32" s="36"/>
      <c r="J32" s="548"/>
      <c r="K32" s="549"/>
      <c r="L32" s="496"/>
      <c r="M32" s="557">
        <f t="shared" si="1"/>
        <v>0</v>
      </c>
      <c r="N32" s="556"/>
      <c r="O32" s="557">
        <f t="shared" si="0"/>
        <v>0</v>
      </c>
      <c r="Q32" s="552"/>
      <c r="S32" s="557">
        <f t="shared" si="2"/>
        <v>0</v>
      </c>
    </row>
    <row r="33" spans="2:19" hidden="1">
      <c r="B33" s="511">
        <v>21</v>
      </c>
      <c r="C33" s="540"/>
      <c r="D33" s="541"/>
      <c r="E33" s="542"/>
      <c r="F33" s="543"/>
      <c r="G33" s="36"/>
      <c r="H33" s="554">
        <f>IF(Consolidado_Geral!$G$133=7.6%,-(0.0165+0.076)*F33,0)</f>
        <v>0</v>
      </c>
      <c r="I33" s="36"/>
      <c r="J33" s="548"/>
      <c r="K33" s="549"/>
      <c r="L33" s="496"/>
      <c r="M33" s="557">
        <f t="shared" si="1"/>
        <v>0</v>
      </c>
      <c r="N33" s="556"/>
      <c r="O33" s="557">
        <f t="shared" si="0"/>
        <v>0</v>
      </c>
      <c r="Q33" s="552"/>
      <c r="S33" s="557">
        <f t="shared" si="2"/>
        <v>0</v>
      </c>
    </row>
    <row r="34" spans="2:19" hidden="1">
      <c r="B34" s="511">
        <v>22</v>
      </c>
      <c r="C34" s="540"/>
      <c r="D34" s="541"/>
      <c r="E34" s="542"/>
      <c r="F34" s="543"/>
      <c r="G34" s="36"/>
      <c r="H34" s="554">
        <f>IF(Consolidado_Geral!$G$133=7.6%,-(0.0165+0.076)*F34,0)</f>
        <v>0</v>
      </c>
      <c r="I34" s="36"/>
      <c r="J34" s="548"/>
      <c r="K34" s="549"/>
      <c r="L34" s="496"/>
      <c r="M34" s="557">
        <f t="shared" si="1"/>
        <v>0</v>
      </c>
      <c r="N34" s="556"/>
      <c r="O34" s="557">
        <f t="shared" si="0"/>
        <v>0</v>
      </c>
      <c r="Q34" s="552"/>
      <c r="S34" s="557">
        <f t="shared" si="2"/>
        <v>0</v>
      </c>
    </row>
    <row r="35" spans="2:19" hidden="1">
      <c r="B35" s="511">
        <v>23</v>
      </c>
      <c r="C35" s="540"/>
      <c r="D35" s="541"/>
      <c r="E35" s="542"/>
      <c r="F35" s="543"/>
      <c r="G35" s="36"/>
      <c r="H35" s="554">
        <f>IF(Consolidado_Geral!$G$133=7.6%,-(0.0165+0.076)*F35,0)</f>
        <v>0</v>
      </c>
      <c r="I35" s="36"/>
      <c r="J35" s="548"/>
      <c r="K35" s="549"/>
      <c r="L35" s="496"/>
      <c r="M35" s="557">
        <f t="shared" si="1"/>
        <v>0</v>
      </c>
      <c r="N35" s="556"/>
      <c r="O35" s="557">
        <f t="shared" si="0"/>
        <v>0</v>
      </c>
      <c r="Q35" s="552"/>
      <c r="S35" s="557">
        <f t="shared" si="2"/>
        <v>0</v>
      </c>
    </row>
    <row r="36" spans="2:19" hidden="1">
      <c r="B36" s="511">
        <v>24</v>
      </c>
      <c r="C36" s="540"/>
      <c r="D36" s="541"/>
      <c r="E36" s="542"/>
      <c r="F36" s="543"/>
      <c r="G36" s="36"/>
      <c r="H36" s="554">
        <f>IF(Consolidado_Geral!$G$133=7.6%,-(0.0165+0.076)*F36,0)</f>
        <v>0</v>
      </c>
      <c r="I36" s="36"/>
      <c r="J36" s="548"/>
      <c r="K36" s="549"/>
      <c r="L36" s="496"/>
      <c r="M36" s="557">
        <f t="shared" si="1"/>
        <v>0</v>
      </c>
      <c r="N36" s="556"/>
      <c r="O36" s="557">
        <f t="shared" si="0"/>
        <v>0</v>
      </c>
      <c r="Q36" s="552"/>
      <c r="S36" s="557">
        <f t="shared" si="2"/>
        <v>0</v>
      </c>
    </row>
    <row r="37" spans="2:19" hidden="1">
      <c r="B37" s="511">
        <v>25</v>
      </c>
      <c r="C37" s="540"/>
      <c r="D37" s="541"/>
      <c r="E37" s="542"/>
      <c r="F37" s="543"/>
      <c r="G37" s="36"/>
      <c r="H37" s="554">
        <f>IF(Consolidado_Geral!$G$133=7.6%,-(0.0165+0.076)*F37,0)</f>
        <v>0</v>
      </c>
      <c r="I37" s="36"/>
      <c r="J37" s="548"/>
      <c r="K37" s="549"/>
      <c r="L37" s="496"/>
      <c r="M37" s="557">
        <f t="shared" si="1"/>
        <v>0</v>
      </c>
      <c r="N37" s="556"/>
      <c r="O37" s="557">
        <f t="shared" si="0"/>
        <v>0</v>
      </c>
      <c r="Q37" s="552"/>
      <c r="S37" s="557">
        <f t="shared" si="2"/>
        <v>0</v>
      </c>
    </row>
    <row r="38" spans="2:19" hidden="1">
      <c r="B38" s="511">
        <v>26</v>
      </c>
      <c r="C38" s="540"/>
      <c r="D38" s="541"/>
      <c r="E38" s="542"/>
      <c r="F38" s="543"/>
      <c r="G38" s="36"/>
      <c r="H38" s="554">
        <f>IF(Consolidado_Geral!$G$133=7.6%,-(0.0165+0.076)*F38,0)</f>
        <v>0</v>
      </c>
      <c r="I38" s="36"/>
      <c r="J38" s="548"/>
      <c r="K38" s="549"/>
      <c r="L38" s="496"/>
      <c r="M38" s="557">
        <f t="shared" si="1"/>
        <v>0</v>
      </c>
      <c r="N38" s="556"/>
      <c r="O38" s="557">
        <f t="shared" si="0"/>
        <v>0</v>
      </c>
      <c r="P38" s="496"/>
      <c r="Q38" s="552"/>
      <c r="R38" s="496"/>
      <c r="S38" s="557">
        <f t="shared" si="2"/>
        <v>0</v>
      </c>
    </row>
    <row r="39" spans="2:19" hidden="1">
      <c r="B39" s="511">
        <v>27</v>
      </c>
      <c r="C39" s="540"/>
      <c r="D39" s="541"/>
      <c r="E39" s="542"/>
      <c r="F39" s="543"/>
      <c r="G39" s="36"/>
      <c r="H39" s="554">
        <f>IF(Consolidado_Geral!$G$133=7.6%,-(0.0165+0.076)*F39,0)</f>
        <v>0</v>
      </c>
      <c r="I39" s="36"/>
      <c r="J39" s="548"/>
      <c r="K39" s="549"/>
      <c r="L39" s="496"/>
      <c r="M39" s="557">
        <f t="shared" si="1"/>
        <v>0</v>
      </c>
      <c r="N39" s="556"/>
      <c r="O39" s="557">
        <f t="shared" si="0"/>
        <v>0</v>
      </c>
      <c r="P39" s="496"/>
      <c r="Q39" s="552"/>
      <c r="R39" s="496"/>
      <c r="S39" s="557">
        <f t="shared" si="2"/>
        <v>0</v>
      </c>
    </row>
    <row r="40" spans="2:19" hidden="1">
      <c r="B40" s="511">
        <v>28</v>
      </c>
      <c r="C40" s="540"/>
      <c r="D40" s="541"/>
      <c r="E40" s="542"/>
      <c r="F40" s="543"/>
      <c r="G40" s="36"/>
      <c r="H40" s="554">
        <f>IF(Consolidado_Geral!$G$133=7.6%,-(0.0165+0.076)*F40,0)</f>
        <v>0</v>
      </c>
      <c r="I40" s="36"/>
      <c r="J40" s="548"/>
      <c r="K40" s="549"/>
      <c r="L40" s="496"/>
      <c r="M40" s="557">
        <f t="shared" si="1"/>
        <v>0</v>
      </c>
      <c r="N40" s="556"/>
      <c r="O40" s="557">
        <f t="shared" si="0"/>
        <v>0</v>
      </c>
      <c r="P40" s="496"/>
      <c r="Q40" s="552"/>
      <c r="R40" s="496"/>
      <c r="S40" s="557">
        <f t="shared" si="2"/>
        <v>0</v>
      </c>
    </row>
    <row r="41" spans="2:19" hidden="1">
      <c r="B41" s="511">
        <v>29</v>
      </c>
      <c r="C41" s="540"/>
      <c r="D41" s="541"/>
      <c r="E41" s="542"/>
      <c r="F41" s="543"/>
      <c r="G41" s="36"/>
      <c r="H41" s="554">
        <f>IF(Consolidado_Geral!$G$133=7.6%,-(0.0165+0.076)*F41,0)</f>
        <v>0</v>
      </c>
      <c r="I41" s="36"/>
      <c r="J41" s="548"/>
      <c r="K41" s="549"/>
      <c r="L41" s="496"/>
      <c r="M41" s="557">
        <f t="shared" si="1"/>
        <v>0</v>
      </c>
      <c r="N41" s="556"/>
      <c r="O41" s="557">
        <f t="shared" si="0"/>
        <v>0</v>
      </c>
      <c r="P41" s="496"/>
      <c r="Q41" s="552"/>
      <c r="R41" s="496"/>
      <c r="S41" s="557">
        <f t="shared" si="2"/>
        <v>0</v>
      </c>
    </row>
    <row r="42" spans="2:19" hidden="1">
      <c r="B42" s="511">
        <v>30</v>
      </c>
      <c r="C42" s="540"/>
      <c r="D42" s="541"/>
      <c r="E42" s="542"/>
      <c r="F42" s="543"/>
      <c r="G42" s="36"/>
      <c r="H42" s="554">
        <f>IF(Consolidado_Geral!$G$133=7.6%,-(0.0165+0.076)*F42,0)</f>
        <v>0</v>
      </c>
      <c r="I42" s="36"/>
      <c r="J42" s="548"/>
      <c r="K42" s="549"/>
      <c r="L42" s="496"/>
      <c r="M42" s="557">
        <f t="shared" si="1"/>
        <v>0</v>
      </c>
      <c r="N42" s="556"/>
      <c r="O42" s="557">
        <f t="shared" si="0"/>
        <v>0</v>
      </c>
      <c r="P42" s="496"/>
      <c r="Q42" s="552"/>
      <c r="R42" s="496"/>
      <c r="S42" s="557">
        <f t="shared" si="2"/>
        <v>0</v>
      </c>
    </row>
    <row r="43" spans="2:19" hidden="1">
      <c r="B43" s="511">
        <v>31</v>
      </c>
      <c r="C43" s="540"/>
      <c r="D43" s="541"/>
      <c r="E43" s="542"/>
      <c r="F43" s="543"/>
      <c r="G43" s="36"/>
      <c r="H43" s="554">
        <f>IF(Consolidado_Geral!$G$133=7.6%,-(0.0165+0.076)*F43,0)</f>
        <v>0</v>
      </c>
      <c r="I43" s="36"/>
      <c r="J43" s="548"/>
      <c r="K43" s="549"/>
      <c r="L43" s="496"/>
      <c r="M43" s="557">
        <f t="shared" si="1"/>
        <v>0</v>
      </c>
      <c r="N43" s="556"/>
      <c r="O43" s="557">
        <f t="shared" si="0"/>
        <v>0</v>
      </c>
      <c r="P43" s="496"/>
      <c r="Q43" s="552"/>
      <c r="R43" s="496"/>
      <c r="S43" s="557">
        <f t="shared" si="2"/>
        <v>0</v>
      </c>
    </row>
    <row r="44" spans="2:19" hidden="1">
      <c r="B44" s="511">
        <v>32</v>
      </c>
      <c r="C44" s="540"/>
      <c r="D44" s="541"/>
      <c r="E44" s="542"/>
      <c r="F44" s="543"/>
      <c r="G44" s="36"/>
      <c r="H44" s="554">
        <f>IF(Consolidado_Geral!$G$133=7.6%,-(0.0165+0.076)*F44,0)</f>
        <v>0</v>
      </c>
      <c r="I44" s="36"/>
      <c r="J44" s="548"/>
      <c r="K44" s="549"/>
      <c r="L44" s="496"/>
      <c r="M44" s="557">
        <f t="shared" si="1"/>
        <v>0</v>
      </c>
      <c r="N44" s="556"/>
      <c r="O44" s="557">
        <f t="shared" si="0"/>
        <v>0</v>
      </c>
      <c r="P44" s="496"/>
      <c r="Q44" s="552"/>
      <c r="R44" s="496"/>
      <c r="S44" s="557">
        <f t="shared" si="2"/>
        <v>0</v>
      </c>
    </row>
    <row r="45" spans="2:19" hidden="1">
      <c r="B45" s="511">
        <v>33</v>
      </c>
      <c r="C45" s="540"/>
      <c r="D45" s="541"/>
      <c r="E45" s="542"/>
      <c r="F45" s="543"/>
      <c r="G45" s="36"/>
      <c r="H45" s="554">
        <f>IF(Consolidado_Geral!$G$133=7.6%,-(0.0165+0.076)*F45,0)</f>
        <v>0</v>
      </c>
      <c r="I45" s="36"/>
      <c r="J45" s="548"/>
      <c r="K45" s="549"/>
      <c r="L45" s="496"/>
      <c r="M45" s="557">
        <f t="shared" si="1"/>
        <v>0</v>
      </c>
      <c r="N45" s="556"/>
      <c r="O45" s="557">
        <f t="shared" si="0"/>
        <v>0</v>
      </c>
      <c r="P45" s="496"/>
      <c r="Q45" s="552"/>
      <c r="R45" s="496"/>
      <c r="S45" s="557">
        <f t="shared" si="2"/>
        <v>0</v>
      </c>
    </row>
    <row r="46" spans="2:19" hidden="1">
      <c r="B46" s="511">
        <v>34</v>
      </c>
      <c r="C46" s="540"/>
      <c r="D46" s="541"/>
      <c r="E46" s="542"/>
      <c r="F46" s="543"/>
      <c r="G46" s="36"/>
      <c r="H46" s="554">
        <f>IF(Consolidado_Geral!$G$133=7.6%,-(0.0165+0.076)*F46,0)</f>
        <v>0</v>
      </c>
      <c r="I46" s="36"/>
      <c r="J46" s="548"/>
      <c r="K46" s="549"/>
      <c r="L46" s="496"/>
      <c r="M46" s="557">
        <f t="shared" si="1"/>
        <v>0</v>
      </c>
      <c r="N46" s="556"/>
      <c r="O46" s="557">
        <f t="shared" si="0"/>
        <v>0</v>
      </c>
      <c r="P46" s="496"/>
      <c r="Q46" s="552"/>
      <c r="R46" s="496"/>
      <c r="S46" s="557">
        <f t="shared" si="2"/>
        <v>0</v>
      </c>
    </row>
    <row r="47" spans="2:19" hidden="1">
      <c r="B47" s="511">
        <v>35</v>
      </c>
      <c r="C47" s="540"/>
      <c r="D47" s="541"/>
      <c r="E47" s="542"/>
      <c r="F47" s="543"/>
      <c r="G47" s="36"/>
      <c r="H47" s="554">
        <f>IF(Consolidado_Geral!$G$133=7.6%,-(0.0165+0.076)*F47,0)</f>
        <v>0</v>
      </c>
      <c r="I47" s="36"/>
      <c r="J47" s="548"/>
      <c r="K47" s="549"/>
      <c r="L47" s="496"/>
      <c r="M47" s="557">
        <f t="shared" si="1"/>
        <v>0</v>
      </c>
      <c r="N47" s="556"/>
      <c r="O47" s="557">
        <f t="shared" si="0"/>
        <v>0</v>
      </c>
      <c r="P47" s="496"/>
      <c r="Q47" s="552"/>
      <c r="R47" s="496"/>
      <c r="S47" s="557">
        <f t="shared" si="2"/>
        <v>0</v>
      </c>
    </row>
    <row r="48" spans="2:19" hidden="1">
      <c r="B48" s="511">
        <v>36</v>
      </c>
      <c r="C48" s="540"/>
      <c r="D48" s="541"/>
      <c r="E48" s="542"/>
      <c r="F48" s="543"/>
      <c r="G48" s="36"/>
      <c r="H48" s="554">
        <f>IF(Consolidado_Geral!$G$133=7.6%,-(0.0165+0.076)*F48,0)</f>
        <v>0</v>
      </c>
      <c r="I48" s="36"/>
      <c r="J48" s="548"/>
      <c r="K48" s="549"/>
      <c r="L48" s="496"/>
      <c r="M48" s="557">
        <f t="shared" si="1"/>
        <v>0</v>
      </c>
      <c r="N48" s="556"/>
      <c r="O48" s="557">
        <f t="shared" si="0"/>
        <v>0</v>
      </c>
      <c r="P48" s="496"/>
      <c r="Q48" s="552"/>
      <c r="R48" s="496"/>
      <c r="S48" s="557">
        <f t="shared" si="2"/>
        <v>0</v>
      </c>
    </row>
    <row r="49" spans="2:19" hidden="1">
      <c r="B49" s="511">
        <v>37</v>
      </c>
      <c r="C49" s="540"/>
      <c r="D49" s="541"/>
      <c r="E49" s="542"/>
      <c r="F49" s="543"/>
      <c r="G49" s="36"/>
      <c r="H49" s="554">
        <f>IF(Consolidado_Geral!$G$133=7.6%,-(0.0165+0.076)*F49,0)</f>
        <v>0</v>
      </c>
      <c r="I49" s="36"/>
      <c r="J49" s="548"/>
      <c r="K49" s="549"/>
      <c r="L49" s="496"/>
      <c r="M49" s="557">
        <f t="shared" si="1"/>
        <v>0</v>
      </c>
      <c r="N49" s="556"/>
      <c r="O49" s="557">
        <f t="shared" si="0"/>
        <v>0</v>
      </c>
      <c r="Q49" s="552"/>
      <c r="S49" s="557">
        <f t="shared" si="2"/>
        <v>0</v>
      </c>
    </row>
    <row r="50" spans="2:19" hidden="1">
      <c r="B50" s="511">
        <v>38</v>
      </c>
      <c r="C50" s="540"/>
      <c r="D50" s="541"/>
      <c r="E50" s="542"/>
      <c r="F50" s="543"/>
      <c r="G50" s="36"/>
      <c r="H50" s="554">
        <f>IF(Consolidado_Geral!$G$133=7.6%,-(0.0165+0.076)*F50,0)</f>
        <v>0</v>
      </c>
      <c r="I50" s="36"/>
      <c r="J50" s="548"/>
      <c r="K50" s="549"/>
      <c r="L50" s="496"/>
      <c r="M50" s="557">
        <f t="shared" si="1"/>
        <v>0</v>
      </c>
      <c r="N50" s="556"/>
      <c r="O50" s="557">
        <f t="shared" si="0"/>
        <v>0</v>
      </c>
      <c r="Q50" s="552"/>
      <c r="S50" s="557">
        <f t="shared" si="2"/>
        <v>0</v>
      </c>
    </row>
    <row r="51" spans="2:19" hidden="1">
      <c r="B51" s="511">
        <v>39</v>
      </c>
      <c r="C51" s="540"/>
      <c r="D51" s="541"/>
      <c r="E51" s="542"/>
      <c r="F51" s="543"/>
      <c r="G51" s="36"/>
      <c r="H51" s="554">
        <f>IF(Consolidado_Geral!$G$133=7.6%,-(0.0165+0.076)*F51,0)</f>
        <v>0</v>
      </c>
      <c r="I51" s="36"/>
      <c r="J51" s="548"/>
      <c r="K51" s="549"/>
      <c r="L51" s="496"/>
      <c r="M51" s="557">
        <f t="shared" si="1"/>
        <v>0</v>
      </c>
      <c r="N51" s="556"/>
      <c r="O51" s="557">
        <f t="shared" si="0"/>
        <v>0</v>
      </c>
      <c r="Q51" s="552"/>
      <c r="S51" s="557">
        <f t="shared" si="2"/>
        <v>0</v>
      </c>
    </row>
    <row r="52" spans="2:19" hidden="1">
      <c r="B52" s="511">
        <v>40</v>
      </c>
      <c r="C52" s="540"/>
      <c r="D52" s="541"/>
      <c r="E52" s="542"/>
      <c r="F52" s="543"/>
      <c r="G52" s="36"/>
      <c r="H52" s="554">
        <f>IF(Consolidado_Geral!$G$133=7.6%,-(0.0165+0.076)*F52,0)</f>
        <v>0</v>
      </c>
      <c r="I52" s="36"/>
      <c r="J52" s="548"/>
      <c r="K52" s="549"/>
      <c r="L52" s="496"/>
      <c r="M52" s="557">
        <f t="shared" si="1"/>
        <v>0</v>
      </c>
      <c r="N52" s="556"/>
      <c r="O52" s="557">
        <f t="shared" si="0"/>
        <v>0</v>
      </c>
      <c r="Q52" s="552"/>
      <c r="S52" s="557">
        <f t="shared" si="2"/>
        <v>0</v>
      </c>
    </row>
    <row r="53" spans="2:19" hidden="1">
      <c r="B53" s="511">
        <v>41</v>
      </c>
      <c r="C53" s="540"/>
      <c r="D53" s="541"/>
      <c r="E53" s="542"/>
      <c r="F53" s="543"/>
      <c r="G53" s="36"/>
      <c r="H53" s="554">
        <f>IF(Consolidado_Geral!$G$133=7.6%,-(0.0165+0.076)*F53,0)</f>
        <v>0</v>
      </c>
      <c r="I53" s="36"/>
      <c r="J53" s="548"/>
      <c r="K53" s="549"/>
      <c r="L53" s="496"/>
      <c r="M53" s="557">
        <f t="shared" si="1"/>
        <v>0</v>
      </c>
      <c r="N53" s="556"/>
      <c r="O53" s="557">
        <f t="shared" si="0"/>
        <v>0</v>
      </c>
      <c r="Q53" s="552"/>
      <c r="S53" s="557">
        <f t="shared" si="2"/>
        <v>0</v>
      </c>
    </row>
    <row r="54" spans="2:19" hidden="1">
      <c r="B54" s="511">
        <v>42</v>
      </c>
      <c r="C54" s="540"/>
      <c r="D54" s="541"/>
      <c r="E54" s="542"/>
      <c r="F54" s="543"/>
      <c r="G54" s="36"/>
      <c r="H54" s="554">
        <f>IF(Consolidado_Geral!$G$133=7.6%,-(0.0165+0.076)*F54,0)</f>
        <v>0</v>
      </c>
      <c r="I54" s="36"/>
      <c r="J54" s="548"/>
      <c r="K54" s="549"/>
      <c r="L54" s="496"/>
      <c r="M54" s="557">
        <f t="shared" si="1"/>
        <v>0</v>
      </c>
      <c r="N54" s="556"/>
      <c r="O54" s="557">
        <f t="shared" si="0"/>
        <v>0</v>
      </c>
      <c r="Q54" s="552"/>
      <c r="S54" s="557">
        <f t="shared" si="2"/>
        <v>0</v>
      </c>
    </row>
    <row r="55" spans="2:19" hidden="1">
      <c r="B55" s="511">
        <v>43</v>
      </c>
      <c r="C55" s="540"/>
      <c r="D55" s="541"/>
      <c r="E55" s="542"/>
      <c r="F55" s="543"/>
      <c r="G55" s="36"/>
      <c r="H55" s="554">
        <f>IF(Consolidado_Geral!$G$133=7.6%,-(0.0165+0.076)*F55,0)</f>
        <v>0</v>
      </c>
      <c r="I55" s="36"/>
      <c r="J55" s="548"/>
      <c r="K55" s="549"/>
      <c r="L55" s="496"/>
      <c r="M55" s="557">
        <f t="shared" si="1"/>
        <v>0</v>
      </c>
      <c r="N55" s="556"/>
      <c r="O55" s="557">
        <f t="shared" si="0"/>
        <v>0</v>
      </c>
      <c r="Q55" s="552"/>
      <c r="S55" s="557">
        <f t="shared" si="2"/>
        <v>0</v>
      </c>
    </row>
    <row r="56" spans="2:19" hidden="1">
      <c r="B56" s="511">
        <v>44</v>
      </c>
      <c r="C56" s="540"/>
      <c r="D56" s="541"/>
      <c r="E56" s="542"/>
      <c r="F56" s="543"/>
      <c r="G56" s="36"/>
      <c r="H56" s="554">
        <f>IF(Consolidado_Geral!$G$133=7.6%,-(0.0165+0.076)*F56,0)</f>
        <v>0</v>
      </c>
      <c r="I56" s="36"/>
      <c r="J56" s="548"/>
      <c r="K56" s="549"/>
      <c r="L56" s="496"/>
      <c r="M56" s="557">
        <f t="shared" si="1"/>
        <v>0</v>
      </c>
      <c r="N56" s="556"/>
      <c r="O56" s="557">
        <f t="shared" si="0"/>
        <v>0</v>
      </c>
      <c r="Q56" s="552"/>
      <c r="S56" s="557">
        <f t="shared" si="2"/>
        <v>0</v>
      </c>
    </row>
    <row r="57" spans="2:19" hidden="1">
      <c r="B57" s="511">
        <v>45</v>
      </c>
      <c r="C57" s="540"/>
      <c r="D57" s="541"/>
      <c r="E57" s="542"/>
      <c r="F57" s="543"/>
      <c r="G57" s="36"/>
      <c r="H57" s="554">
        <f>IF(Consolidado_Geral!$G$133=7.6%,-(0.0165+0.076)*F57,0)</f>
        <v>0</v>
      </c>
      <c r="I57" s="36"/>
      <c r="J57" s="548"/>
      <c r="K57" s="549"/>
      <c r="L57" s="496"/>
      <c r="M57" s="557">
        <f t="shared" si="1"/>
        <v>0</v>
      </c>
      <c r="N57" s="556"/>
      <c r="O57" s="557">
        <f t="shared" si="0"/>
        <v>0</v>
      </c>
      <c r="Q57" s="552"/>
      <c r="S57" s="557">
        <f t="shared" si="2"/>
        <v>0</v>
      </c>
    </row>
    <row r="58" spans="2:19" hidden="1">
      <c r="B58" s="511">
        <v>46</v>
      </c>
      <c r="C58" s="540"/>
      <c r="D58" s="541"/>
      <c r="E58" s="542"/>
      <c r="F58" s="543"/>
      <c r="G58" s="36"/>
      <c r="H58" s="554">
        <f>IF(Consolidado_Geral!$G$133=7.6%,-(0.0165+0.076)*F58,0)</f>
        <v>0</v>
      </c>
      <c r="I58" s="36"/>
      <c r="J58" s="548"/>
      <c r="K58" s="549"/>
      <c r="L58" s="496"/>
      <c r="M58" s="557">
        <f t="shared" si="1"/>
        <v>0</v>
      </c>
      <c r="N58" s="556"/>
      <c r="O58" s="557">
        <f t="shared" si="0"/>
        <v>0</v>
      </c>
      <c r="Q58" s="552"/>
      <c r="S58" s="557">
        <f t="shared" si="2"/>
        <v>0</v>
      </c>
    </row>
    <row r="59" spans="2:19" hidden="1">
      <c r="B59" s="511">
        <v>47</v>
      </c>
      <c r="C59" s="540"/>
      <c r="D59" s="541"/>
      <c r="E59" s="542"/>
      <c r="F59" s="543"/>
      <c r="G59" s="36"/>
      <c r="H59" s="554">
        <f>IF(Consolidado_Geral!$G$133=7.6%,-(0.0165+0.076)*F59,0)</f>
        <v>0</v>
      </c>
      <c r="I59" s="36"/>
      <c r="J59" s="548"/>
      <c r="K59" s="549"/>
      <c r="L59" s="496"/>
      <c r="M59" s="557">
        <f t="shared" si="1"/>
        <v>0</v>
      </c>
      <c r="N59" s="556"/>
      <c r="O59" s="557">
        <f t="shared" si="0"/>
        <v>0</v>
      </c>
      <c r="Q59" s="552"/>
      <c r="S59" s="557">
        <f t="shared" si="2"/>
        <v>0</v>
      </c>
    </row>
    <row r="60" spans="2:19" hidden="1">
      <c r="B60" s="511">
        <v>48</v>
      </c>
      <c r="C60" s="540"/>
      <c r="D60" s="541"/>
      <c r="E60" s="542"/>
      <c r="F60" s="543"/>
      <c r="G60" s="36"/>
      <c r="H60" s="554">
        <f>IF(Consolidado_Geral!$G$133=7.6%,-(0.0165+0.076)*F60,0)</f>
        <v>0</v>
      </c>
      <c r="I60" s="36"/>
      <c r="J60" s="548"/>
      <c r="K60" s="549"/>
      <c r="L60" s="496"/>
      <c r="M60" s="557">
        <f t="shared" si="1"/>
        <v>0</v>
      </c>
      <c r="N60" s="556"/>
      <c r="O60" s="557">
        <f t="shared" si="0"/>
        <v>0</v>
      </c>
      <c r="Q60" s="552"/>
      <c r="S60" s="557">
        <f t="shared" si="2"/>
        <v>0</v>
      </c>
    </row>
    <row r="61" spans="2:19" hidden="1">
      <c r="B61" s="511">
        <v>49</v>
      </c>
      <c r="C61" s="540"/>
      <c r="D61" s="541"/>
      <c r="E61" s="542"/>
      <c r="F61" s="543"/>
      <c r="G61" s="36"/>
      <c r="H61" s="554">
        <f>IF(Consolidado_Geral!$G$133=7.6%,-(0.0165+0.076)*F61,0)</f>
        <v>0</v>
      </c>
      <c r="I61" s="36"/>
      <c r="J61" s="548"/>
      <c r="K61" s="549"/>
      <c r="L61" s="496"/>
      <c r="M61" s="557">
        <f t="shared" si="1"/>
        <v>0</v>
      </c>
      <c r="N61" s="556"/>
      <c r="O61" s="557">
        <f t="shared" si="0"/>
        <v>0</v>
      </c>
      <c r="Q61" s="552"/>
      <c r="S61" s="557">
        <f t="shared" si="2"/>
        <v>0</v>
      </c>
    </row>
    <row r="62" spans="2:19" hidden="1">
      <c r="B62" s="511">
        <v>50</v>
      </c>
      <c r="C62" s="540"/>
      <c r="D62" s="541"/>
      <c r="E62" s="542"/>
      <c r="F62" s="543"/>
      <c r="G62" s="36"/>
      <c r="H62" s="554">
        <f>IF(Consolidado_Geral!$G$133=7.6%,-(0.0165+0.076)*F62,0)</f>
        <v>0</v>
      </c>
      <c r="I62" s="36"/>
      <c r="J62" s="548"/>
      <c r="K62" s="549"/>
      <c r="L62" s="496"/>
      <c r="M62" s="557">
        <f t="shared" si="1"/>
        <v>0</v>
      </c>
      <c r="N62" s="556"/>
      <c r="O62" s="557">
        <f t="shared" si="0"/>
        <v>0</v>
      </c>
      <c r="P62" s="496"/>
      <c r="Q62" s="552"/>
      <c r="R62" s="496"/>
      <c r="S62" s="557">
        <f t="shared" si="2"/>
        <v>0</v>
      </c>
    </row>
    <row r="63" spans="2:19" hidden="1">
      <c r="B63" s="511">
        <v>51</v>
      </c>
      <c r="C63" s="540"/>
      <c r="D63" s="541"/>
      <c r="E63" s="542"/>
      <c r="F63" s="543"/>
      <c r="G63" s="36"/>
      <c r="H63" s="554">
        <f>IF(Consolidado_Geral!$G$133=7.6%,-(0.0165+0.076)*F63,0)</f>
        <v>0</v>
      </c>
      <c r="I63" s="36"/>
      <c r="J63" s="548"/>
      <c r="K63" s="549"/>
      <c r="L63" s="496"/>
      <c r="M63" s="557">
        <f t="shared" si="1"/>
        <v>0</v>
      </c>
      <c r="N63" s="556"/>
      <c r="O63" s="557">
        <f t="shared" si="0"/>
        <v>0</v>
      </c>
      <c r="P63" s="496"/>
      <c r="Q63" s="552"/>
      <c r="R63" s="496"/>
      <c r="S63" s="557">
        <f t="shared" si="2"/>
        <v>0</v>
      </c>
    </row>
    <row r="64" spans="2:19" hidden="1">
      <c r="B64" s="511">
        <v>52</v>
      </c>
      <c r="C64" s="540"/>
      <c r="D64" s="541"/>
      <c r="E64" s="542"/>
      <c r="F64" s="543"/>
      <c r="G64" s="36"/>
      <c r="H64" s="554">
        <f>IF(Consolidado_Geral!$G$133=7.6%,-(0.0165+0.076)*F64,0)</f>
        <v>0</v>
      </c>
      <c r="I64" s="36"/>
      <c r="J64" s="548"/>
      <c r="K64" s="549"/>
      <c r="L64" s="496"/>
      <c r="M64" s="557">
        <f t="shared" si="1"/>
        <v>0</v>
      </c>
      <c r="N64" s="556"/>
      <c r="O64" s="557">
        <f t="shared" si="0"/>
        <v>0</v>
      </c>
      <c r="P64" s="496"/>
      <c r="Q64" s="552"/>
      <c r="R64" s="496"/>
      <c r="S64" s="557">
        <f t="shared" si="2"/>
        <v>0</v>
      </c>
    </row>
    <row r="65" spans="2:19" hidden="1">
      <c r="B65" s="511">
        <v>53</v>
      </c>
      <c r="C65" s="540"/>
      <c r="D65" s="541"/>
      <c r="E65" s="542"/>
      <c r="F65" s="543"/>
      <c r="G65" s="36"/>
      <c r="H65" s="554">
        <f>IF(Consolidado_Geral!$G$133=7.6%,-(0.0165+0.076)*F65,0)</f>
        <v>0</v>
      </c>
      <c r="I65" s="36"/>
      <c r="J65" s="548"/>
      <c r="K65" s="549"/>
      <c r="L65" s="496"/>
      <c r="M65" s="557">
        <f t="shared" si="1"/>
        <v>0</v>
      </c>
      <c r="N65" s="556"/>
      <c r="O65" s="557">
        <f t="shared" si="0"/>
        <v>0</v>
      </c>
      <c r="P65" s="496"/>
      <c r="Q65" s="552"/>
      <c r="R65" s="496"/>
      <c r="S65" s="557">
        <f t="shared" si="2"/>
        <v>0</v>
      </c>
    </row>
    <row r="66" spans="2:19" hidden="1">
      <c r="B66" s="511">
        <v>54</v>
      </c>
      <c r="C66" s="540"/>
      <c r="D66" s="541"/>
      <c r="E66" s="542"/>
      <c r="F66" s="543"/>
      <c r="G66" s="36"/>
      <c r="H66" s="554">
        <f>IF(Consolidado_Geral!$G$133=7.6%,-(0.0165+0.076)*F66,0)</f>
        <v>0</v>
      </c>
      <c r="I66" s="36"/>
      <c r="J66" s="548"/>
      <c r="K66" s="549"/>
      <c r="L66" s="496"/>
      <c r="M66" s="557">
        <f t="shared" si="1"/>
        <v>0</v>
      </c>
      <c r="N66" s="556"/>
      <c r="O66" s="557">
        <f t="shared" si="0"/>
        <v>0</v>
      </c>
      <c r="P66" s="496"/>
      <c r="Q66" s="552"/>
      <c r="R66" s="496"/>
      <c r="S66" s="557">
        <f t="shared" si="2"/>
        <v>0</v>
      </c>
    </row>
    <row r="67" spans="2:19" hidden="1">
      <c r="B67" s="511">
        <v>55</v>
      </c>
      <c r="C67" s="540"/>
      <c r="D67" s="541"/>
      <c r="E67" s="542"/>
      <c r="F67" s="543"/>
      <c r="G67" s="36"/>
      <c r="H67" s="554">
        <f>IF(Consolidado_Geral!$G$133=7.6%,-(0.0165+0.076)*F67,0)</f>
        <v>0</v>
      </c>
      <c r="I67" s="36"/>
      <c r="J67" s="548"/>
      <c r="K67" s="549"/>
      <c r="L67" s="496"/>
      <c r="M67" s="557">
        <f t="shared" si="1"/>
        <v>0</v>
      </c>
      <c r="N67" s="556"/>
      <c r="O67" s="557">
        <f t="shared" si="0"/>
        <v>0</v>
      </c>
      <c r="P67" s="496"/>
      <c r="Q67" s="552"/>
      <c r="R67" s="496"/>
      <c r="S67" s="557">
        <f t="shared" si="2"/>
        <v>0</v>
      </c>
    </row>
    <row r="68" spans="2:19" hidden="1">
      <c r="B68" s="511">
        <v>56</v>
      </c>
      <c r="C68" s="540"/>
      <c r="D68" s="541"/>
      <c r="E68" s="542"/>
      <c r="F68" s="543"/>
      <c r="G68" s="36"/>
      <c r="H68" s="554">
        <f>IF(Consolidado_Geral!$G$133=7.6%,-(0.0165+0.076)*F68,0)</f>
        <v>0</v>
      </c>
      <c r="I68" s="36"/>
      <c r="J68" s="548"/>
      <c r="K68" s="549"/>
      <c r="L68" s="496"/>
      <c r="M68" s="557">
        <f t="shared" si="1"/>
        <v>0</v>
      </c>
      <c r="N68" s="556"/>
      <c r="O68" s="557">
        <f t="shared" si="0"/>
        <v>0</v>
      </c>
      <c r="P68" s="496"/>
      <c r="Q68" s="552"/>
      <c r="R68" s="496"/>
      <c r="S68" s="557">
        <f t="shared" si="2"/>
        <v>0</v>
      </c>
    </row>
    <row r="69" spans="2:19" hidden="1">
      <c r="B69" s="511">
        <v>57</v>
      </c>
      <c r="C69" s="540"/>
      <c r="D69" s="541"/>
      <c r="E69" s="542"/>
      <c r="F69" s="543"/>
      <c r="G69" s="36"/>
      <c r="H69" s="554">
        <f>IF(Consolidado_Geral!$G$133=7.6%,-(0.0165+0.076)*F69,0)</f>
        <v>0</v>
      </c>
      <c r="I69" s="36"/>
      <c r="J69" s="548"/>
      <c r="K69" s="549"/>
      <c r="L69" s="496"/>
      <c r="M69" s="557">
        <f t="shared" si="1"/>
        <v>0</v>
      </c>
      <c r="N69" s="556"/>
      <c r="O69" s="557">
        <f t="shared" si="0"/>
        <v>0</v>
      </c>
      <c r="P69" s="496"/>
      <c r="Q69" s="552"/>
      <c r="R69" s="496"/>
      <c r="S69" s="557">
        <f t="shared" si="2"/>
        <v>0</v>
      </c>
    </row>
    <row r="70" spans="2:19" hidden="1">
      <c r="B70" s="511">
        <v>58</v>
      </c>
      <c r="C70" s="540"/>
      <c r="D70" s="541"/>
      <c r="E70" s="542"/>
      <c r="F70" s="543"/>
      <c r="G70" s="36"/>
      <c r="H70" s="554">
        <f>IF(Consolidado_Geral!$G$133=7.6%,-(0.0165+0.076)*F70,0)</f>
        <v>0</v>
      </c>
      <c r="I70" s="36"/>
      <c r="J70" s="548"/>
      <c r="K70" s="549"/>
      <c r="L70" s="496"/>
      <c r="M70" s="557">
        <f t="shared" si="1"/>
        <v>0</v>
      </c>
      <c r="N70" s="556"/>
      <c r="O70" s="557">
        <f t="shared" si="0"/>
        <v>0</v>
      </c>
      <c r="P70" s="496"/>
      <c r="Q70" s="552"/>
      <c r="R70" s="496"/>
      <c r="S70" s="557">
        <f t="shared" si="2"/>
        <v>0</v>
      </c>
    </row>
    <row r="71" spans="2:19" hidden="1">
      <c r="B71" s="511">
        <v>59</v>
      </c>
      <c r="C71" s="540"/>
      <c r="D71" s="541"/>
      <c r="E71" s="542"/>
      <c r="F71" s="543"/>
      <c r="G71" s="36"/>
      <c r="H71" s="554">
        <f>IF(Consolidado_Geral!$G$133=7.6%,-(0.0165+0.076)*F71,0)</f>
        <v>0</v>
      </c>
      <c r="I71" s="36"/>
      <c r="J71" s="548"/>
      <c r="K71" s="549"/>
      <c r="L71" s="496"/>
      <c r="M71" s="557">
        <f t="shared" si="1"/>
        <v>0</v>
      </c>
      <c r="N71" s="556"/>
      <c r="O71" s="557">
        <f t="shared" si="0"/>
        <v>0</v>
      </c>
      <c r="P71" s="496"/>
      <c r="Q71" s="552"/>
      <c r="R71" s="496"/>
      <c r="S71" s="557">
        <f t="shared" si="2"/>
        <v>0</v>
      </c>
    </row>
    <row r="72" spans="2:19" hidden="1">
      <c r="B72" s="511">
        <v>60</v>
      </c>
      <c r="C72" s="540"/>
      <c r="D72" s="541"/>
      <c r="E72" s="542"/>
      <c r="F72" s="543"/>
      <c r="G72" s="36"/>
      <c r="H72" s="554">
        <f>IF(Consolidado_Geral!$G$133=7.6%,-(0.0165+0.076)*F72,0)</f>
        <v>0</v>
      </c>
      <c r="I72" s="36"/>
      <c r="J72" s="548"/>
      <c r="K72" s="549"/>
      <c r="L72" s="496"/>
      <c r="M72" s="557">
        <f t="shared" si="1"/>
        <v>0</v>
      </c>
      <c r="N72" s="556"/>
      <c r="O72" s="557">
        <f t="shared" si="0"/>
        <v>0</v>
      </c>
      <c r="P72" s="496"/>
      <c r="Q72" s="552"/>
      <c r="R72" s="496"/>
      <c r="S72" s="557">
        <f t="shared" si="2"/>
        <v>0</v>
      </c>
    </row>
    <row r="73" spans="2:19" hidden="1">
      <c r="B73" s="511">
        <v>61</v>
      </c>
      <c r="C73" s="540"/>
      <c r="D73" s="541"/>
      <c r="E73" s="542"/>
      <c r="F73" s="543"/>
      <c r="G73" s="36"/>
      <c r="H73" s="554">
        <f>IF(Consolidado_Geral!$G$133=7.6%,-(0.0165+0.076)*F73,0)</f>
        <v>0</v>
      </c>
      <c r="I73" s="36"/>
      <c r="J73" s="548"/>
      <c r="K73" s="549"/>
      <c r="L73" s="496"/>
      <c r="M73" s="557">
        <f t="shared" si="1"/>
        <v>0</v>
      </c>
      <c r="N73" s="556"/>
      <c r="O73" s="557">
        <f t="shared" si="0"/>
        <v>0</v>
      </c>
      <c r="Q73" s="552"/>
      <c r="S73" s="557">
        <f t="shared" si="2"/>
        <v>0</v>
      </c>
    </row>
    <row r="74" spans="2:19" hidden="1">
      <c r="B74" s="511">
        <v>62</v>
      </c>
      <c r="C74" s="540"/>
      <c r="D74" s="541"/>
      <c r="E74" s="542"/>
      <c r="F74" s="543"/>
      <c r="G74" s="36"/>
      <c r="H74" s="554">
        <f>IF(Consolidado_Geral!$G$133=7.6%,-(0.0165+0.076)*F74,0)</f>
        <v>0</v>
      </c>
      <c r="I74" s="36"/>
      <c r="J74" s="548"/>
      <c r="K74" s="549"/>
      <c r="L74" s="496"/>
      <c r="M74" s="557">
        <f t="shared" si="1"/>
        <v>0</v>
      </c>
      <c r="N74" s="556"/>
      <c r="O74" s="557">
        <f t="shared" si="0"/>
        <v>0</v>
      </c>
      <c r="Q74" s="552"/>
      <c r="S74" s="557">
        <f t="shared" si="2"/>
        <v>0</v>
      </c>
    </row>
    <row r="75" spans="2:19" hidden="1">
      <c r="B75" s="511">
        <v>63</v>
      </c>
      <c r="C75" s="540"/>
      <c r="D75" s="541"/>
      <c r="E75" s="542"/>
      <c r="F75" s="543"/>
      <c r="G75" s="36"/>
      <c r="H75" s="554">
        <f>IF(Consolidado_Geral!$G$133=7.6%,-(0.0165+0.076)*F75,0)</f>
        <v>0</v>
      </c>
      <c r="I75" s="36"/>
      <c r="J75" s="548"/>
      <c r="K75" s="549"/>
      <c r="L75" s="496"/>
      <c r="M75" s="557">
        <f t="shared" si="1"/>
        <v>0</v>
      </c>
      <c r="N75" s="556"/>
      <c r="O75" s="557">
        <f t="shared" si="0"/>
        <v>0</v>
      </c>
      <c r="Q75" s="552"/>
      <c r="S75" s="557">
        <f t="shared" si="2"/>
        <v>0</v>
      </c>
    </row>
    <row r="76" spans="2:19" hidden="1">
      <c r="B76" s="511">
        <v>64</v>
      </c>
      <c r="C76" s="540"/>
      <c r="D76" s="541"/>
      <c r="E76" s="542"/>
      <c r="F76" s="543"/>
      <c r="G76" s="36"/>
      <c r="H76" s="554">
        <f>IF(Consolidado_Geral!$G$133=7.6%,-(0.0165+0.076)*F76,0)</f>
        <v>0</v>
      </c>
      <c r="I76" s="36"/>
      <c r="J76" s="548"/>
      <c r="K76" s="549"/>
      <c r="L76" s="496"/>
      <c r="M76" s="557">
        <f t="shared" si="1"/>
        <v>0</v>
      </c>
      <c r="N76" s="556"/>
      <c r="O76" s="557">
        <f t="shared" si="0"/>
        <v>0</v>
      </c>
      <c r="Q76" s="552"/>
      <c r="S76" s="557">
        <f t="shared" si="2"/>
        <v>0</v>
      </c>
    </row>
    <row r="77" spans="2:19" hidden="1">
      <c r="B77" s="511">
        <v>65</v>
      </c>
      <c r="C77" s="540"/>
      <c r="D77" s="541"/>
      <c r="E77" s="542"/>
      <c r="F77" s="543"/>
      <c r="G77" s="36"/>
      <c r="H77" s="554">
        <f>IF(Consolidado_Geral!$G$133=7.6%,-(0.0165+0.076)*F77,0)</f>
        <v>0</v>
      </c>
      <c r="I77" s="36"/>
      <c r="J77" s="548"/>
      <c r="K77" s="549"/>
      <c r="L77" s="496"/>
      <c r="M77" s="557">
        <f t="shared" si="1"/>
        <v>0</v>
      </c>
      <c r="N77" s="556"/>
      <c r="O77" s="557">
        <f t="shared" ref="O77:O140" si="3">IF(E77=0,0,(M77/K77)*E77)</f>
        <v>0</v>
      </c>
      <c r="Q77" s="552"/>
      <c r="S77" s="557">
        <f t="shared" si="2"/>
        <v>0</v>
      </c>
    </row>
    <row r="78" spans="2:19" hidden="1">
      <c r="B78" s="511">
        <v>66</v>
      </c>
      <c r="C78" s="540"/>
      <c r="D78" s="541"/>
      <c r="E78" s="542"/>
      <c r="F78" s="543"/>
      <c r="G78" s="36"/>
      <c r="H78" s="554">
        <f>IF(Consolidado_Geral!$G$133=7.6%,-(0.0165+0.076)*F78,0)</f>
        <v>0</v>
      </c>
      <c r="I78" s="36"/>
      <c r="J78" s="548"/>
      <c r="K78" s="549"/>
      <c r="L78" s="496"/>
      <c r="M78" s="557">
        <f t="shared" ref="M78:M141" si="4">IF(E78&gt;0,(F78+H78)-J78,0)</f>
        <v>0</v>
      </c>
      <c r="N78" s="556"/>
      <c r="O78" s="557">
        <f t="shared" si="3"/>
        <v>0</v>
      </c>
      <c r="Q78" s="552"/>
      <c r="S78" s="557">
        <f t="shared" ref="S78:S141" si="5">E78*(M78*Q78)</f>
        <v>0</v>
      </c>
    </row>
    <row r="79" spans="2:19" hidden="1">
      <c r="B79" s="511">
        <v>67</v>
      </c>
      <c r="C79" s="540"/>
      <c r="D79" s="541"/>
      <c r="E79" s="542"/>
      <c r="F79" s="543"/>
      <c r="G79" s="36"/>
      <c r="H79" s="554">
        <f>IF(Consolidado_Geral!$G$133=7.6%,-(0.0165+0.076)*F79,0)</f>
        <v>0</v>
      </c>
      <c r="I79" s="36"/>
      <c r="J79" s="548"/>
      <c r="K79" s="549"/>
      <c r="L79" s="496"/>
      <c r="M79" s="557">
        <f t="shared" si="4"/>
        <v>0</v>
      </c>
      <c r="N79" s="556"/>
      <c r="O79" s="557">
        <f t="shared" si="3"/>
        <v>0</v>
      </c>
      <c r="Q79" s="552"/>
      <c r="S79" s="557">
        <f t="shared" si="5"/>
        <v>0</v>
      </c>
    </row>
    <row r="80" spans="2:19" hidden="1">
      <c r="B80" s="511">
        <v>68</v>
      </c>
      <c r="C80" s="540"/>
      <c r="D80" s="541"/>
      <c r="E80" s="542"/>
      <c r="F80" s="543"/>
      <c r="G80" s="36"/>
      <c r="H80" s="554">
        <f>IF(Consolidado_Geral!$G$133=7.6%,-(0.0165+0.076)*F80,0)</f>
        <v>0</v>
      </c>
      <c r="I80" s="36"/>
      <c r="J80" s="548"/>
      <c r="K80" s="549"/>
      <c r="L80" s="496"/>
      <c r="M80" s="557">
        <f t="shared" si="4"/>
        <v>0</v>
      </c>
      <c r="N80" s="556"/>
      <c r="O80" s="557">
        <f t="shared" si="3"/>
        <v>0</v>
      </c>
      <c r="Q80" s="552"/>
      <c r="S80" s="557">
        <f t="shared" si="5"/>
        <v>0</v>
      </c>
    </row>
    <row r="81" spans="2:19" hidden="1">
      <c r="B81" s="511">
        <v>69</v>
      </c>
      <c r="C81" s="540"/>
      <c r="D81" s="541"/>
      <c r="E81" s="542"/>
      <c r="F81" s="543"/>
      <c r="G81" s="36"/>
      <c r="H81" s="554">
        <f>IF(Consolidado_Geral!$G$133=7.6%,-(0.0165+0.076)*F81,0)</f>
        <v>0</v>
      </c>
      <c r="I81" s="36"/>
      <c r="J81" s="548"/>
      <c r="K81" s="549"/>
      <c r="L81" s="496"/>
      <c r="M81" s="557">
        <f t="shared" si="4"/>
        <v>0</v>
      </c>
      <c r="N81" s="556"/>
      <c r="O81" s="557">
        <f t="shared" si="3"/>
        <v>0</v>
      </c>
      <c r="Q81" s="552"/>
      <c r="S81" s="557">
        <f t="shared" si="5"/>
        <v>0</v>
      </c>
    </row>
    <row r="82" spans="2:19" hidden="1">
      <c r="B82" s="511">
        <v>70</v>
      </c>
      <c r="C82" s="540"/>
      <c r="D82" s="541"/>
      <c r="E82" s="542"/>
      <c r="F82" s="543"/>
      <c r="G82" s="36"/>
      <c r="H82" s="554">
        <f>IF(Consolidado_Geral!$G$133=7.6%,-(0.0165+0.076)*F82,0)</f>
        <v>0</v>
      </c>
      <c r="I82" s="36"/>
      <c r="J82" s="548"/>
      <c r="K82" s="549"/>
      <c r="L82" s="496"/>
      <c r="M82" s="557">
        <f t="shared" si="4"/>
        <v>0</v>
      </c>
      <c r="N82" s="556"/>
      <c r="O82" s="557">
        <f t="shared" si="3"/>
        <v>0</v>
      </c>
      <c r="Q82" s="552"/>
      <c r="S82" s="557">
        <f t="shared" si="5"/>
        <v>0</v>
      </c>
    </row>
    <row r="83" spans="2:19" hidden="1">
      <c r="B83" s="511">
        <v>71</v>
      </c>
      <c r="C83" s="540"/>
      <c r="D83" s="541"/>
      <c r="E83" s="542"/>
      <c r="F83" s="543"/>
      <c r="G83" s="36"/>
      <c r="H83" s="554">
        <f>IF(Consolidado_Geral!$G$133=7.6%,-(0.0165+0.076)*F83,0)</f>
        <v>0</v>
      </c>
      <c r="I83" s="36"/>
      <c r="J83" s="548"/>
      <c r="K83" s="549"/>
      <c r="L83" s="496"/>
      <c r="M83" s="557">
        <f t="shared" si="4"/>
        <v>0</v>
      </c>
      <c r="N83" s="556"/>
      <c r="O83" s="557">
        <f t="shared" si="3"/>
        <v>0</v>
      </c>
      <c r="Q83" s="552"/>
      <c r="S83" s="557">
        <f t="shared" si="5"/>
        <v>0</v>
      </c>
    </row>
    <row r="84" spans="2:19" hidden="1">
      <c r="B84" s="511">
        <v>72</v>
      </c>
      <c r="C84" s="540"/>
      <c r="D84" s="541"/>
      <c r="E84" s="542"/>
      <c r="F84" s="543"/>
      <c r="G84" s="36"/>
      <c r="H84" s="554">
        <f>IF(Consolidado_Geral!$G$133=7.6%,-(0.0165+0.076)*F84,0)</f>
        <v>0</v>
      </c>
      <c r="I84" s="36"/>
      <c r="J84" s="548"/>
      <c r="K84" s="549"/>
      <c r="L84" s="496"/>
      <c r="M84" s="557">
        <f t="shared" si="4"/>
        <v>0</v>
      </c>
      <c r="N84" s="556"/>
      <c r="O84" s="557">
        <f t="shared" si="3"/>
        <v>0</v>
      </c>
      <c r="Q84" s="552"/>
      <c r="S84" s="557">
        <f t="shared" si="5"/>
        <v>0</v>
      </c>
    </row>
    <row r="85" spans="2:19" hidden="1">
      <c r="B85" s="511">
        <v>73</v>
      </c>
      <c r="C85" s="540"/>
      <c r="D85" s="541"/>
      <c r="E85" s="542"/>
      <c r="F85" s="543"/>
      <c r="G85" s="36"/>
      <c r="H85" s="554">
        <f>IF(Consolidado_Geral!$G$133=7.6%,-(0.0165+0.076)*F85,0)</f>
        <v>0</v>
      </c>
      <c r="I85" s="36"/>
      <c r="J85" s="548"/>
      <c r="K85" s="549"/>
      <c r="L85" s="496"/>
      <c r="M85" s="557">
        <f t="shared" si="4"/>
        <v>0</v>
      </c>
      <c r="N85" s="556"/>
      <c r="O85" s="557">
        <f t="shared" si="3"/>
        <v>0</v>
      </c>
      <c r="Q85" s="552"/>
      <c r="S85" s="557">
        <f t="shared" si="5"/>
        <v>0</v>
      </c>
    </row>
    <row r="86" spans="2:19" hidden="1">
      <c r="B86" s="511">
        <v>74</v>
      </c>
      <c r="C86" s="540"/>
      <c r="D86" s="541"/>
      <c r="E86" s="542"/>
      <c r="F86" s="543"/>
      <c r="G86" s="36"/>
      <c r="H86" s="554">
        <f>IF(Consolidado_Geral!$G$133=7.6%,-(0.0165+0.076)*F86,0)</f>
        <v>0</v>
      </c>
      <c r="I86" s="36"/>
      <c r="J86" s="548"/>
      <c r="K86" s="549"/>
      <c r="L86" s="496"/>
      <c r="M86" s="557">
        <f t="shared" si="4"/>
        <v>0</v>
      </c>
      <c r="N86" s="556"/>
      <c r="O86" s="557">
        <f t="shared" si="3"/>
        <v>0</v>
      </c>
      <c r="P86" s="496"/>
      <c r="Q86" s="552"/>
      <c r="R86" s="496"/>
      <c r="S86" s="557">
        <f t="shared" si="5"/>
        <v>0</v>
      </c>
    </row>
    <row r="87" spans="2:19" hidden="1">
      <c r="B87" s="511">
        <v>75</v>
      </c>
      <c r="C87" s="540"/>
      <c r="D87" s="541"/>
      <c r="E87" s="542"/>
      <c r="F87" s="543"/>
      <c r="G87" s="36"/>
      <c r="H87" s="554">
        <f>IF(Consolidado_Geral!$G$133=7.6%,-(0.0165+0.076)*F87,0)</f>
        <v>0</v>
      </c>
      <c r="I87" s="36"/>
      <c r="J87" s="548"/>
      <c r="K87" s="549"/>
      <c r="L87" s="496"/>
      <c r="M87" s="557">
        <f t="shared" si="4"/>
        <v>0</v>
      </c>
      <c r="N87" s="556"/>
      <c r="O87" s="557">
        <f t="shared" si="3"/>
        <v>0</v>
      </c>
      <c r="P87" s="496"/>
      <c r="Q87" s="552"/>
      <c r="R87" s="496"/>
      <c r="S87" s="557">
        <f t="shared" si="5"/>
        <v>0</v>
      </c>
    </row>
    <row r="88" spans="2:19" hidden="1">
      <c r="B88" s="511">
        <v>76</v>
      </c>
      <c r="C88" s="540"/>
      <c r="D88" s="541"/>
      <c r="E88" s="542"/>
      <c r="F88" s="543"/>
      <c r="G88" s="36"/>
      <c r="H88" s="554">
        <f>IF(Consolidado_Geral!$G$133=7.6%,-(0.0165+0.076)*F88,0)</f>
        <v>0</v>
      </c>
      <c r="I88" s="36"/>
      <c r="J88" s="548"/>
      <c r="K88" s="549"/>
      <c r="L88" s="496"/>
      <c r="M88" s="557">
        <f t="shared" si="4"/>
        <v>0</v>
      </c>
      <c r="N88" s="556"/>
      <c r="O88" s="557">
        <f t="shared" si="3"/>
        <v>0</v>
      </c>
      <c r="P88" s="496"/>
      <c r="Q88" s="552"/>
      <c r="R88" s="496"/>
      <c r="S88" s="557">
        <f t="shared" si="5"/>
        <v>0</v>
      </c>
    </row>
    <row r="89" spans="2:19" hidden="1">
      <c r="B89" s="511">
        <v>77</v>
      </c>
      <c r="C89" s="540"/>
      <c r="D89" s="541"/>
      <c r="E89" s="542"/>
      <c r="F89" s="543"/>
      <c r="G89" s="36"/>
      <c r="H89" s="554">
        <f>IF(Consolidado_Geral!$G$133=7.6%,-(0.0165+0.076)*F89,0)</f>
        <v>0</v>
      </c>
      <c r="I89" s="36"/>
      <c r="J89" s="548"/>
      <c r="K89" s="549"/>
      <c r="L89" s="496"/>
      <c r="M89" s="557">
        <f t="shared" si="4"/>
        <v>0</v>
      </c>
      <c r="N89" s="556"/>
      <c r="O89" s="557">
        <f t="shared" si="3"/>
        <v>0</v>
      </c>
      <c r="P89" s="496"/>
      <c r="Q89" s="552"/>
      <c r="R89" s="496"/>
      <c r="S89" s="557">
        <f t="shared" si="5"/>
        <v>0</v>
      </c>
    </row>
    <row r="90" spans="2:19" hidden="1">
      <c r="B90" s="511">
        <v>78</v>
      </c>
      <c r="C90" s="540"/>
      <c r="D90" s="541"/>
      <c r="E90" s="542"/>
      <c r="F90" s="543"/>
      <c r="G90" s="36"/>
      <c r="H90" s="554">
        <f>IF(Consolidado_Geral!$G$133=7.6%,-(0.0165+0.076)*F90,0)</f>
        <v>0</v>
      </c>
      <c r="I90" s="36"/>
      <c r="J90" s="548"/>
      <c r="K90" s="549"/>
      <c r="L90" s="496"/>
      <c r="M90" s="557">
        <f t="shared" si="4"/>
        <v>0</v>
      </c>
      <c r="N90" s="556"/>
      <c r="O90" s="557">
        <f t="shared" si="3"/>
        <v>0</v>
      </c>
      <c r="P90" s="496"/>
      <c r="Q90" s="552"/>
      <c r="R90" s="496"/>
      <c r="S90" s="557">
        <f t="shared" si="5"/>
        <v>0</v>
      </c>
    </row>
    <row r="91" spans="2:19" hidden="1">
      <c r="B91" s="511">
        <v>79</v>
      </c>
      <c r="C91" s="540"/>
      <c r="D91" s="541"/>
      <c r="E91" s="542"/>
      <c r="F91" s="543"/>
      <c r="G91" s="36"/>
      <c r="H91" s="554">
        <f>IF(Consolidado_Geral!$G$133=7.6%,-(0.0165+0.076)*F91,0)</f>
        <v>0</v>
      </c>
      <c r="I91" s="36"/>
      <c r="J91" s="548"/>
      <c r="K91" s="549"/>
      <c r="L91" s="496"/>
      <c r="M91" s="557">
        <f t="shared" si="4"/>
        <v>0</v>
      </c>
      <c r="N91" s="556"/>
      <c r="O91" s="557">
        <f t="shared" si="3"/>
        <v>0</v>
      </c>
      <c r="P91" s="496"/>
      <c r="Q91" s="552"/>
      <c r="R91" s="496"/>
      <c r="S91" s="557">
        <f t="shared" si="5"/>
        <v>0</v>
      </c>
    </row>
    <row r="92" spans="2:19" hidden="1">
      <c r="B92" s="511">
        <v>80</v>
      </c>
      <c r="C92" s="540"/>
      <c r="D92" s="541"/>
      <c r="E92" s="542"/>
      <c r="F92" s="543"/>
      <c r="G92" s="36"/>
      <c r="H92" s="554">
        <f>IF(Consolidado_Geral!$G$133=7.6%,-(0.0165+0.076)*F92,0)</f>
        <v>0</v>
      </c>
      <c r="I92" s="36"/>
      <c r="J92" s="548"/>
      <c r="K92" s="549"/>
      <c r="L92" s="496"/>
      <c r="M92" s="557">
        <f t="shared" si="4"/>
        <v>0</v>
      </c>
      <c r="N92" s="556"/>
      <c r="O92" s="557">
        <f t="shared" si="3"/>
        <v>0</v>
      </c>
      <c r="P92" s="496"/>
      <c r="Q92" s="552"/>
      <c r="R92" s="496"/>
      <c r="S92" s="557">
        <f t="shared" si="5"/>
        <v>0</v>
      </c>
    </row>
    <row r="93" spans="2:19" hidden="1">
      <c r="B93" s="511">
        <v>81</v>
      </c>
      <c r="C93" s="540"/>
      <c r="D93" s="541"/>
      <c r="E93" s="542"/>
      <c r="F93" s="543"/>
      <c r="G93" s="36"/>
      <c r="H93" s="554">
        <f>IF(Consolidado_Geral!$G$133=7.6%,-(0.0165+0.076)*F93,0)</f>
        <v>0</v>
      </c>
      <c r="I93" s="36"/>
      <c r="J93" s="548"/>
      <c r="K93" s="549"/>
      <c r="L93" s="496"/>
      <c r="M93" s="557">
        <f t="shared" si="4"/>
        <v>0</v>
      </c>
      <c r="N93" s="556"/>
      <c r="O93" s="557">
        <f t="shared" si="3"/>
        <v>0</v>
      </c>
      <c r="P93" s="496"/>
      <c r="Q93" s="552"/>
      <c r="R93" s="496"/>
      <c r="S93" s="557">
        <f t="shared" si="5"/>
        <v>0</v>
      </c>
    </row>
    <row r="94" spans="2:19" hidden="1">
      <c r="B94" s="511">
        <v>82</v>
      </c>
      <c r="C94" s="540"/>
      <c r="D94" s="541"/>
      <c r="E94" s="542"/>
      <c r="F94" s="543"/>
      <c r="G94" s="36"/>
      <c r="H94" s="554">
        <f>IF(Consolidado_Geral!$G$133=7.6%,-(0.0165+0.076)*F94,0)</f>
        <v>0</v>
      </c>
      <c r="I94" s="36"/>
      <c r="J94" s="548"/>
      <c r="K94" s="549"/>
      <c r="L94" s="496"/>
      <c r="M94" s="557">
        <f t="shared" si="4"/>
        <v>0</v>
      </c>
      <c r="N94" s="556"/>
      <c r="O94" s="557">
        <f t="shared" si="3"/>
        <v>0</v>
      </c>
      <c r="P94" s="496"/>
      <c r="Q94" s="552"/>
      <c r="R94" s="496"/>
      <c r="S94" s="557">
        <f t="shared" si="5"/>
        <v>0</v>
      </c>
    </row>
    <row r="95" spans="2:19" hidden="1">
      <c r="B95" s="511">
        <v>83</v>
      </c>
      <c r="C95" s="540"/>
      <c r="D95" s="541"/>
      <c r="E95" s="542"/>
      <c r="F95" s="543"/>
      <c r="G95" s="36"/>
      <c r="H95" s="554">
        <f>IF(Consolidado_Geral!$G$133=7.6%,-(0.0165+0.076)*F95,0)</f>
        <v>0</v>
      </c>
      <c r="I95" s="36"/>
      <c r="J95" s="548"/>
      <c r="K95" s="549"/>
      <c r="L95" s="496"/>
      <c r="M95" s="557">
        <f t="shared" si="4"/>
        <v>0</v>
      </c>
      <c r="N95" s="556"/>
      <c r="O95" s="557">
        <f t="shared" si="3"/>
        <v>0</v>
      </c>
      <c r="P95" s="496"/>
      <c r="Q95" s="552"/>
      <c r="R95" s="496"/>
      <c r="S95" s="557">
        <f t="shared" si="5"/>
        <v>0</v>
      </c>
    </row>
    <row r="96" spans="2:19" hidden="1">
      <c r="B96" s="511">
        <v>84</v>
      </c>
      <c r="C96" s="540"/>
      <c r="D96" s="541"/>
      <c r="E96" s="542"/>
      <c r="F96" s="543"/>
      <c r="G96" s="36"/>
      <c r="H96" s="554">
        <f>IF(Consolidado_Geral!$G$133=7.6%,-(0.0165+0.076)*F96,0)</f>
        <v>0</v>
      </c>
      <c r="I96" s="36"/>
      <c r="J96" s="548"/>
      <c r="K96" s="549"/>
      <c r="L96" s="496"/>
      <c r="M96" s="557">
        <f t="shared" si="4"/>
        <v>0</v>
      </c>
      <c r="N96" s="556"/>
      <c r="O96" s="557">
        <f t="shared" si="3"/>
        <v>0</v>
      </c>
      <c r="P96" s="496"/>
      <c r="Q96" s="552"/>
      <c r="R96" s="496"/>
      <c r="S96" s="557">
        <f t="shared" si="5"/>
        <v>0</v>
      </c>
    </row>
    <row r="97" spans="2:19" hidden="1">
      <c r="B97" s="511">
        <v>85</v>
      </c>
      <c r="C97" s="540"/>
      <c r="D97" s="541"/>
      <c r="E97" s="542"/>
      <c r="F97" s="543"/>
      <c r="G97" s="36"/>
      <c r="H97" s="554">
        <f>IF(Consolidado_Geral!$G$133=7.6%,-(0.0165+0.076)*F97,0)</f>
        <v>0</v>
      </c>
      <c r="I97" s="36"/>
      <c r="J97" s="548"/>
      <c r="K97" s="549"/>
      <c r="L97" s="496"/>
      <c r="M97" s="557">
        <f t="shared" si="4"/>
        <v>0</v>
      </c>
      <c r="N97" s="556"/>
      <c r="O97" s="557">
        <f t="shared" si="3"/>
        <v>0</v>
      </c>
      <c r="Q97" s="552"/>
      <c r="S97" s="557">
        <f t="shared" si="5"/>
        <v>0</v>
      </c>
    </row>
    <row r="98" spans="2:19" hidden="1">
      <c r="B98" s="511">
        <v>86</v>
      </c>
      <c r="C98" s="540"/>
      <c r="D98" s="541"/>
      <c r="E98" s="542"/>
      <c r="F98" s="543"/>
      <c r="G98" s="36"/>
      <c r="H98" s="554">
        <f>IF(Consolidado_Geral!$G$133=7.6%,-(0.0165+0.076)*F98,0)</f>
        <v>0</v>
      </c>
      <c r="I98" s="36"/>
      <c r="J98" s="548"/>
      <c r="K98" s="549"/>
      <c r="L98" s="496"/>
      <c r="M98" s="557">
        <f t="shared" si="4"/>
        <v>0</v>
      </c>
      <c r="N98" s="556"/>
      <c r="O98" s="557">
        <f t="shared" si="3"/>
        <v>0</v>
      </c>
      <c r="Q98" s="552"/>
      <c r="S98" s="557">
        <f t="shared" si="5"/>
        <v>0</v>
      </c>
    </row>
    <row r="99" spans="2:19" hidden="1">
      <c r="B99" s="511">
        <v>87</v>
      </c>
      <c r="C99" s="540"/>
      <c r="D99" s="541"/>
      <c r="E99" s="542"/>
      <c r="F99" s="543"/>
      <c r="G99" s="36"/>
      <c r="H99" s="554">
        <f>IF(Consolidado_Geral!$G$133=7.6%,-(0.0165+0.076)*F99,0)</f>
        <v>0</v>
      </c>
      <c r="I99" s="36"/>
      <c r="J99" s="548"/>
      <c r="K99" s="549"/>
      <c r="L99" s="496"/>
      <c r="M99" s="557">
        <f t="shared" si="4"/>
        <v>0</v>
      </c>
      <c r="N99" s="556"/>
      <c r="O99" s="557">
        <f t="shared" si="3"/>
        <v>0</v>
      </c>
      <c r="Q99" s="552"/>
      <c r="S99" s="557">
        <f t="shared" si="5"/>
        <v>0</v>
      </c>
    </row>
    <row r="100" spans="2:19" hidden="1">
      <c r="B100" s="511">
        <v>88</v>
      </c>
      <c r="C100" s="540"/>
      <c r="D100" s="541"/>
      <c r="E100" s="542"/>
      <c r="F100" s="543"/>
      <c r="G100" s="36"/>
      <c r="H100" s="554">
        <f>IF(Consolidado_Geral!$G$133=7.6%,-(0.0165+0.076)*F100,0)</f>
        <v>0</v>
      </c>
      <c r="I100" s="36"/>
      <c r="J100" s="548"/>
      <c r="K100" s="549"/>
      <c r="L100" s="496"/>
      <c r="M100" s="557">
        <f t="shared" si="4"/>
        <v>0</v>
      </c>
      <c r="N100" s="556"/>
      <c r="O100" s="557">
        <f t="shared" si="3"/>
        <v>0</v>
      </c>
      <c r="Q100" s="552"/>
      <c r="S100" s="557">
        <f t="shared" si="5"/>
        <v>0</v>
      </c>
    </row>
    <row r="101" spans="2:19" hidden="1">
      <c r="B101" s="511">
        <v>89</v>
      </c>
      <c r="C101" s="540"/>
      <c r="D101" s="541"/>
      <c r="E101" s="542"/>
      <c r="F101" s="543"/>
      <c r="G101" s="36"/>
      <c r="H101" s="554">
        <f>IF(Consolidado_Geral!$G$133=7.6%,-(0.0165+0.076)*F101,0)</f>
        <v>0</v>
      </c>
      <c r="I101" s="36"/>
      <c r="J101" s="548"/>
      <c r="K101" s="549"/>
      <c r="L101" s="496"/>
      <c r="M101" s="557">
        <f t="shared" si="4"/>
        <v>0</v>
      </c>
      <c r="N101" s="556"/>
      <c r="O101" s="557">
        <f t="shared" si="3"/>
        <v>0</v>
      </c>
      <c r="Q101" s="552"/>
      <c r="S101" s="557">
        <f t="shared" si="5"/>
        <v>0</v>
      </c>
    </row>
    <row r="102" spans="2:19" hidden="1">
      <c r="B102" s="511">
        <v>90</v>
      </c>
      <c r="C102" s="540"/>
      <c r="D102" s="541"/>
      <c r="E102" s="542"/>
      <c r="F102" s="543"/>
      <c r="G102" s="36"/>
      <c r="H102" s="554">
        <f>IF(Consolidado_Geral!$G$133=7.6%,-(0.0165+0.076)*F102,0)</f>
        <v>0</v>
      </c>
      <c r="I102" s="36"/>
      <c r="J102" s="548"/>
      <c r="K102" s="549"/>
      <c r="L102" s="496"/>
      <c r="M102" s="557">
        <f t="shared" si="4"/>
        <v>0</v>
      </c>
      <c r="N102" s="556"/>
      <c r="O102" s="557">
        <f t="shared" si="3"/>
        <v>0</v>
      </c>
      <c r="Q102" s="552"/>
      <c r="S102" s="557">
        <f t="shared" si="5"/>
        <v>0</v>
      </c>
    </row>
    <row r="103" spans="2:19" hidden="1">
      <c r="B103" s="511">
        <v>91</v>
      </c>
      <c r="C103" s="540"/>
      <c r="D103" s="541"/>
      <c r="E103" s="542"/>
      <c r="F103" s="543"/>
      <c r="G103" s="36"/>
      <c r="H103" s="554">
        <f>IF(Consolidado_Geral!$G$133=7.6%,-(0.0165+0.076)*F103,0)</f>
        <v>0</v>
      </c>
      <c r="I103" s="36"/>
      <c r="J103" s="548"/>
      <c r="K103" s="549"/>
      <c r="L103" s="496"/>
      <c r="M103" s="557">
        <f t="shared" si="4"/>
        <v>0</v>
      </c>
      <c r="N103" s="556"/>
      <c r="O103" s="557">
        <f t="shared" si="3"/>
        <v>0</v>
      </c>
      <c r="Q103" s="552"/>
      <c r="S103" s="557">
        <f t="shared" si="5"/>
        <v>0</v>
      </c>
    </row>
    <row r="104" spans="2:19" hidden="1">
      <c r="B104" s="511">
        <v>92</v>
      </c>
      <c r="C104" s="540"/>
      <c r="D104" s="541"/>
      <c r="E104" s="542"/>
      <c r="F104" s="543"/>
      <c r="G104" s="36"/>
      <c r="H104" s="554">
        <f>IF(Consolidado_Geral!$G$133=7.6%,-(0.0165+0.076)*F104,0)</f>
        <v>0</v>
      </c>
      <c r="I104" s="36"/>
      <c r="J104" s="548"/>
      <c r="K104" s="549"/>
      <c r="L104" s="496"/>
      <c r="M104" s="557">
        <f t="shared" si="4"/>
        <v>0</v>
      </c>
      <c r="N104" s="556"/>
      <c r="O104" s="557">
        <f t="shared" si="3"/>
        <v>0</v>
      </c>
      <c r="Q104" s="552"/>
      <c r="S104" s="557">
        <f t="shared" si="5"/>
        <v>0</v>
      </c>
    </row>
    <row r="105" spans="2:19" hidden="1">
      <c r="B105" s="511">
        <v>93</v>
      </c>
      <c r="C105" s="540"/>
      <c r="D105" s="541"/>
      <c r="E105" s="542"/>
      <c r="F105" s="543"/>
      <c r="G105" s="36"/>
      <c r="H105" s="554">
        <f>IF(Consolidado_Geral!$G$133=7.6%,-(0.0165+0.076)*F105,0)</f>
        <v>0</v>
      </c>
      <c r="I105" s="36"/>
      <c r="J105" s="548"/>
      <c r="K105" s="549"/>
      <c r="L105" s="496"/>
      <c r="M105" s="557">
        <f t="shared" si="4"/>
        <v>0</v>
      </c>
      <c r="N105" s="556"/>
      <c r="O105" s="557">
        <f t="shared" si="3"/>
        <v>0</v>
      </c>
      <c r="Q105" s="552"/>
      <c r="S105" s="557">
        <f t="shared" si="5"/>
        <v>0</v>
      </c>
    </row>
    <row r="106" spans="2:19" hidden="1">
      <c r="B106" s="511">
        <v>94</v>
      </c>
      <c r="C106" s="540"/>
      <c r="D106" s="541"/>
      <c r="E106" s="542"/>
      <c r="F106" s="543"/>
      <c r="G106" s="36"/>
      <c r="H106" s="554">
        <f>IF(Consolidado_Geral!$G$133=7.6%,-(0.0165+0.076)*F106,0)</f>
        <v>0</v>
      </c>
      <c r="I106" s="36"/>
      <c r="J106" s="548"/>
      <c r="K106" s="549"/>
      <c r="L106" s="496"/>
      <c r="M106" s="557">
        <f t="shared" si="4"/>
        <v>0</v>
      </c>
      <c r="N106" s="556"/>
      <c r="O106" s="557">
        <f t="shared" si="3"/>
        <v>0</v>
      </c>
      <c r="Q106" s="552"/>
      <c r="S106" s="557">
        <f t="shared" si="5"/>
        <v>0</v>
      </c>
    </row>
    <row r="107" spans="2:19" hidden="1">
      <c r="B107" s="511">
        <v>95</v>
      </c>
      <c r="C107" s="540"/>
      <c r="D107" s="541"/>
      <c r="E107" s="542"/>
      <c r="F107" s="543"/>
      <c r="G107" s="36"/>
      <c r="H107" s="554">
        <f>IF(Consolidado_Geral!$G$133=7.6%,-(0.0165+0.076)*F107,0)</f>
        <v>0</v>
      </c>
      <c r="I107" s="36"/>
      <c r="J107" s="548"/>
      <c r="K107" s="549"/>
      <c r="L107" s="496"/>
      <c r="M107" s="557">
        <f t="shared" si="4"/>
        <v>0</v>
      </c>
      <c r="N107" s="556"/>
      <c r="O107" s="557">
        <f t="shared" si="3"/>
        <v>0</v>
      </c>
      <c r="Q107" s="552"/>
      <c r="S107" s="557">
        <f t="shared" si="5"/>
        <v>0</v>
      </c>
    </row>
    <row r="108" spans="2:19" hidden="1">
      <c r="B108" s="511">
        <v>96</v>
      </c>
      <c r="C108" s="540"/>
      <c r="D108" s="541"/>
      <c r="E108" s="542"/>
      <c r="F108" s="543"/>
      <c r="G108" s="36"/>
      <c r="H108" s="554">
        <f>IF(Consolidado_Geral!$G$133=7.6%,-(0.0165+0.076)*F108,0)</f>
        <v>0</v>
      </c>
      <c r="I108" s="36"/>
      <c r="J108" s="548"/>
      <c r="K108" s="549"/>
      <c r="L108" s="496"/>
      <c r="M108" s="557">
        <f t="shared" si="4"/>
        <v>0</v>
      </c>
      <c r="N108" s="556"/>
      <c r="O108" s="557">
        <f t="shared" si="3"/>
        <v>0</v>
      </c>
      <c r="Q108" s="552"/>
      <c r="S108" s="557">
        <f t="shared" si="5"/>
        <v>0</v>
      </c>
    </row>
    <row r="109" spans="2:19" hidden="1">
      <c r="B109" s="511">
        <v>97</v>
      </c>
      <c r="C109" s="540"/>
      <c r="D109" s="541"/>
      <c r="E109" s="542"/>
      <c r="F109" s="543"/>
      <c r="G109" s="36"/>
      <c r="H109" s="554">
        <f>IF(Consolidado_Geral!$G$133=7.6%,-(0.0165+0.076)*F109,0)</f>
        <v>0</v>
      </c>
      <c r="I109" s="36"/>
      <c r="J109" s="548"/>
      <c r="K109" s="549"/>
      <c r="L109" s="496"/>
      <c r="M109" s="557">
        <f t="shared" si="4"/>
        <v>0</v>
      </c>
      <c r="N109" s="556"/>
      <c r="O109" s="557">
        <f t="shared" si="3"/>
        <v>0</v>
      </c>
      <c r="Q109" s="552"/>
      <c r="S109" s="557">
        <f t="shared" si="5"/>
        <v>0</v>
      </c>
    </row>
    <row r="110" spans="2:19" hidden="1">
      <c r="B110" s="511">
        <v>98</v>
      </c>
      <c r="C110" s="540"/>
      <c r="D110" s="541"/>
      <c r="E110" s="542"/>
      <c r="F110" s="543"/>
      <c r="G110" s="36"/>
      <c r="H110" s="554">
        <f>IF(Consolidado_Geral!$G$133=7.6%,-(0.0165+0.076)*F110,0)</f>
        <v>0</v>
      </c>
      <c r="I110" s="36"/>
      <c r="J110" s="548"/>
      <c r="K110" s="549"/>
      <c r="L110" s="496"/>
      <c r="M110" s="557">
        <f t="shared" si="4"/>
        <v>0</v>
      </c>
      <c r="N110" s="556"/>
      <c r="O110" s="557">
        <f t="shared" si="3"/>
        <v>0</v>
      </c>
      <c r="Q110" s="552"/>
      <c r="S110" s="557">
        <f t="shared" si="5"/>
        <v>0</v>
      </c>
    </row>
    <row r="111" spans="2:19" hidden="1">
      <c r="B111" s="511">
        <v>99</v>
      </c>
      <c r="C111" s="540"/>
      <c r="D111" s="541"/>
      <c r="E111" s="542"/>
      <c r="F111" s="543"/>
      <c r="G111" s="36"/>
      <c r="H111" s="554">
        <f>IF(Consolidado_Geral!$G$133=7.6%,-(0.0165+0.076)*F111,0)</f>
        <v>0</v>
      </c>
      <c r="I111" s="36"/>
      <c r="J111" s="548"/>
      <c r="K111" s="549"/>
      <c r="L111" s="496"/>
      <c r="M111" s="557">
        <f t="shared" si="4"/>
        <v>0</v>
      </c>
      <c r="N111" s="556"/>
      <c r="O111" s="557">
        <f t="shared" si="3"/>
        <v>0</v>
      </c>
      <c r="Q111" s="552"/>
      <c r="S111" s="557">
        <f t="shared" si="5"/>
        <v>0</v>
      </c>
    </row>
    <row r="112" spans="2:19" hidden="1">
      <c r="B112" s="511">
        <v>100</v>
      </c>
      <c r="C112" s="540"/>
      <c r="D112" s="541"/>
      <c r="E112" s="542"/>
      <c r="F112" s="543"/>
      <c r="G112" s="36"/>
      <c r="H112" s="554">
        <f>IF(Consolidado_Geral!$G$133=7.6%,-(0.0165+0.076)*F112,0)</f>
        <v>0</v>
      </c>
      <c r="I112" s="36"/>
      <c r="J112" s="548"/>
      <c r="K112" s="549"/>
      <c r="L112" s="496"/>
      <c r="M112" s="557">
        <f t="shared" si="4"/>
        <v>0</v>
      </c>
      <c r="N112" s="556"/>
      <c r="O112" s="557">
        <f t="shared" si="3"/>
        <v>0</v>
      </c>
      <c r="P112" s="496"/>
      <c r="Q112" s="552"/>
      <c r="R112" s="496"/>
      <c r="S112" s="557">
        <f t="shared" si="5"/>
        <v>0</v>
      </c>
    </row>
    <row r="113" spans="2:19" hidden="1">
      <c r="B113" s="511">
        <v>101</v>
      </c>
      <c r="C113" s="540"/>
      <c r="D113" s="541"/>
      <c r="E113" s="542"/>
      <c r="F113" s="543"/>
      <c r="G113" s="36"/>
      <c r="H113" s="554">
        <f>IF(Consolidado_Geral!$G$133=7.6%,-(0.0165+0.076)*F113,0)</f>
        <v>0</v>
      </c>
      <c r="I113" s="36"/>
      <c r="J113" s="548"/>
      <c r="K113" s="549"/>
      <c r="L113" s="496"/>
      <c r="M113" s="557">
        <f t="shared" si="4"/>
        <v>0</v>
      </c>
      <c r="N113" s="556"/>
      <c r="O113" s="557">
        <f t="shared" si="3"/>
        <v>0</v>
      </c>
      <c r="Q113" s="552"/>
      <c r="S113" s="557">
        <f t="shared" si="5"/>
        <v>0</v>
      </c>
    </row>
    <row r="114" spans="2:19" hidden="1">
      <c r="B114" s="511">
        <v>102</v>
      </c>
      <c r="C114" s="540"/>
      <c r="D114" s="541"/>
      <c r="E114" s="542"/>
      <c r="F114" s="543"/>
      <c r="G114" s="36"/>
      <c r="H114" s="554">
        <f>IF(Consolidado_Geral!$G$133=7.6%,-(0.0165+0.076)*F114,0)</f>
        <v>0</v>
      </c>
      <c r="I114" s="36"/>
      <c r="J114" s="548"/>
      <c r="K114" s="549"/>
      <c r="L114" s="496"/>
      <c r="M114" s="557">
        <f t="shared" si="4"/>
        <v>0</v>
      </c>
      <c r="N114" s="556"/>
      <c r="O114" s="557">
        <f t="shared" si="3"/>
        <v>0</v>
      </c>
      <c r="Q114" s="552"/>
      <c r="S114" s="557">
        <f t="shared" si="5"/>
        <v>0</v>
      </c>
    </row>
    <row r="115" spans="2:19" hidden="1">
      <c r="B115" s="511">
        <v>103</v>
      </c>
      <c r="C115" s="540"/>
      <c r="D115" s="541"/>
      <c r="E115" s="542"/>
      <c r="F115" s="543"/>
      <c r="G115" s="36"/>
      <c r="H115" s="554">
        <f>IF(Consolidado_Geral!$G$133=7.6%,-(0.0165+0.076)*F115,0)</f>
        <v>0</v>
      </c>
      <c r="I115" s="36"/>
      <c r="J115" s="548"/>
      <c r="K115" s="549"/>
      <c r="L115" s="496"/>
      <c r="M115" s="557">
        <f t="shared" si="4"/>
        <v>0</v>
      </c>
      <c r="N115" s="556"/>
      <c r="O115" s="557">
        <f t="shared" si="3"/>
        <v>0</v>
      </c>
      <c r="Q115" s="552"/>
      <c r="S115" s="557">
        <f t="shared" si="5"/>
        <v>0</v>
      </c>
    </row>
    <row r="116" spans="2:19" hidden="1">
      <c r="B116" s="511">
        <v>104</v>
      </c>
      <c r="C116" s="540"/>
      <c r="D116" s="541"/>
      <c r="E116" s="542"/>
      <c r="F116" s="543"/>
      <c r="G116" s="36"/>
      <c r="H116" s="554">
        <f>IF(Consolidado_Geral!$G$133=7.6%,-(0.0165+0.076)*F116,0)</f>
        <v>0</v>
      </c>
      <c r="I116" s="36"/>
      <c r="J116" s="548"/>
      <c r="K116" s="549"/>
      <c r="L116" s="496"/>
      <c r="M116" s="557">
        <f t="shared" si="4"/>
        <v>0</v>
      </c>
      <c r="N116" s="556"/>
      <c r="O116" s="557">
        <f t="shared" si="3"/>
        <v>0</v>
      </c>
      <c r="Q116" s="552"/>
      <c r="S116" s="557">
        <f t="shared" si="5"/>
        <v>0</v>
      </c>
    </row>
    <row r="117" spans="2:19" hidden="1">
      <c r="B117" s="511">
        <v>105</v>
      </c>
      <c r="C117" s="540"/>
      <c r="D117" s="541"/>
      <c r="E117" s="542"/>
      <c r="F117" s="543"/>
      <c r="G117" s="36"/>
      <c r="H117" s="554">
        <f>IF(Consolidado_Geral!$G$133=7.6%,-(0.0165+0.076)*F117,0)</f>
        <v>0</v>
      </c>
      <c r="I117" s="36"/>
      <c r="J117" s="548"/>
      <c r="K117" s="549"/>
      <c r="L117" s="496"/>
      <c r="M117" s="557">
        <f t="shared" si="4"/>
        <v>0</v>
      </c>
      <c r="N117" s="556"/>
      <c r="O117" s="557">
        <f t="shared" si="3"/>
        <v>0</v>
      </c>
      <c r="Q117" s="552"/>
      <c r="S117" s="557">
        <f t="shared" si="5"/>
        <v>0</v>
      </c>
    </row>
    <row r="118" spans="2:19" hidden="1">
      <c r="B118" s="511">
        <v>106</v>
      </c>
      <c r="C118" s="540"/>
      <c r="D118" s="541"/>
      <c r="E118" s="542"/>
      <c r="F118" s="543"/>
      <c r="G118" s="36"/>
      <c r="H118" s="554">
        <f>IF(Consolidado_Geral!$G$133=7.6%,-(0.0165+0.076)*F118,0)</f>
        <v>0</v>
      </c>
      <c r="I118" s="36"/>
      <c r="J118" s="548"/>
      <c r="K118" s="549"/>
      <c r="L118" s="496"/>
      <c r="M118" s="557">
        <f t="shared" si="4"/>
        <v>0</v>
      </c>
      <c r="N118" s="556"/>
      <c r="O118" s="557">
        <f t="shared" si="3"/>
        <v>0</v>
      </c>
      <c r="Q118" s="552"/>
      <c r="S118" s="557">
        <f t="shared" si="5"/>
        <v>0</v>
      </c>
    </row>
    <row r="119" spans="2:19" hidden="1">
      <c r="B119" s="511">
        <v>107</v>
      </c>
      <c r="C119" s="540"/>
      <c r="D119" s="541"/>
      <c r="E119" s="542"/>
      <c r="F119" s="543"/>
      <c r="G119" s="36"/>
      <c r="H119" s="554">
        <f>IF(Consolidado_Geral!$G$133=7.6%,-(0.0165+0.076)*F119,0)</f>
        <v>0</v>
      </c>
      <c r="I119" s="36"/>
      <c r="J119" s="548"/>
      <c r="K119" s="549"/>
      <c r="L119" s="496"/>
      <c r="M119" s="557">
        <f t="shared" si="4"/>
        <v>0</v>
      </c>
      <c r="N119" s="556"/>
      <c r="O119" s="557">
        <f t="shared" si="3"/>
        <v>0</v>
      </c>
      <c r="Q119" s="552"/>
      <c r="S119" s="557">
        <f t="shared" si="5"/>
        <v>0</v>
      </c>
    </row>
    <row r="120" spans="2:19" hidden="1">
      <c r="B120" s="511">
        <v>108</v>
      </c>
      <c r="C120" s="540"/>
      <c r="D120" s="541"/>
      <c r="E120" s="542"/>
      <c r="F120" s="543"/>
      <c r="G120" s="36"/>
      <c r="H120" s="554">
        <f>IF(Consolidado_Geral!$G$133=7.6%,-(0.0165+0.076)*F120,0)</f>
        <v>0</v>
      </c>
      <c r="I120" s="36"/>
      <c r="J120" s="548"/>
      <c r="K120" s="549"/>
      <c r="L120" s="496"/>
      <c r="M120" s="557">
        <f t="shared" si="4"/>
        <v>0</v>
      </c>
      <c r="N120" s="556"/>
      <c r="O120" s="557">
        <f t="shared" si="3"/>
        <v>0</v>
      </c>
      <c r="Q120" s="552"/>
      <c r="S120" s="557">
        <f t="shared" si="5"/>
        <v>0</v>
      </c>
    </row>
    <row r="121" spans="2:19" hidden="1">
      <c r="B121" s="511">
        <v>109</v>
      </c>
      <c r="C121" s="540"/>
      <c r="D121" s="541"/>
      <c r="E121" s="542"/>
      <c r="F121" s="543"/>
      <c r="G121" s="36"/>
      <c r="H121" s="554">
        <f>IF(Consolidado_Geral!$G$133=7.6%,-(0.0165+0.076)*F121,0)</f>
        <v>0</v>
      </c>
      <c r="I121" s="36"/>
      <c r="J121" s="548"/>
      <c r="K121" s="549"/>
      <c r="L121" s="496"/>
      <c r="M121" s="557">
        <f t="shared" si="4"/>
        <v>0</v>
      </c>
      <c r="N121" s="556"/>
      <c r="O121" s="557">
        <f t="shared" si="3"/>
        <v>0</v>
      </c>
      <c r="Q121" s="552"/>
      <c r="S121" s="557">
        <f t="shared" si="5"/>
        <v>0</v>
      </c>
    </row>
    <row r="122" spans="2:19" hidden="1">
      <c r="B122" s="511">
        <v>110</v>
      </c>
      <c r="C122" s="540"/>
      <c r="D122" s="541"/>
      <c r="E122" s="542"/>
      <c r="F122" s="543"/>
      <c r="G122" s="36"/>
      <c r="H122" s="554">
        <f>IF(Consolidado_Geral!$G$133=7.6%,-(0.0165+0.076)*F122,0)</f>
        <v>0</v>
      </c>
      <c r="I122" s="36"/>
      <c r="J122" s="548"/>
      <c r="K122" s="549"/>
      <c r="L122" s="496"/>
      <c r="M122" s="557">
        <f t="shared" si="4"/>
        <v>0</v>
      </c>
      <c r="N122" s="556"/>
      <c r="O122" s="557">
        <f t="shared" si="3"/>
        <v>0</v>
      </c>
      <c r="Q122" s="552"/>
      <c r="S122" s="557">
        <f t="shared" si="5"/>
        <v>0</v>
      </c>
    </row>
    <row r="123" spans="2:19" hidden="1">
      <c r="B123" s="511">
        <v>111</v>
      </c>
      <c r="C123" s="540"/>
      <c r="D123" s="541"/>
      <c r="E123" s="542"/>
      <c r="F123" s="543"/>
      <c r="G123" s="36"/>
      <c r="H123" s="554">
        <f>IF(Consolidado_Geral!$G$133=7.6%,-(0.0165+0.076)*F123,0)</f>
        <v>0</v>
      </c>
      <c r="I123" s="36"/>
      <c r="J123" s="548"/>
      <c r="K123" s="549"/>
      <c r="L123" s="496"/>
      <c r="M123" s="557">
        <f t="shared" si="4"/>
        <v>0</v>
      </c>
      <c r="N123" s="556"/>
      <c r="O123" s="557">
        <f t="shared" si="3"/>
        <v>0</v>
      </c>
      <c r="Q123" s="552"/>
      <c r="S123" s="557">
        <f t="shared" si="5"/>
        <v>0</v>
      </c>
    </row>
    <row r="124" spans="2:19" hidden="1">
      <c r="B124" s="511">
        <v>112</v>
      </c>
      <c r="C124" s="540"/>
      <c r="D124" s="541"/>
      <c r="E124" s="542"/>
      <c r="F124" s="543"/>
      <c r="G124" s="36"/>
      <c r="H124" s="554">
        <f>IF(Consolidado_Geral!$G$133=7.6%,-(0.0165+0.076)*F124,0)</f>
        <v>0</v>
      </c>
      <c r="I124" s="36"/>
      <c r="J124" s="548"/>
      <c r="K124" s="549"/>
      <c r="L124" s="496"/>
      <c r="M124" s="557">
        <f t="shared" si="4"/>
        <v>0</v>
      </c>
      <c r="N124" s="556"/>
      <c r="O124" s="557">
        <f t="shared" si="3"/>
        <v>0</v>
      </c>
      <c r="Q124" s="552"/>
      <c r="S124" s="557">
        <f t="shared" si="5"/>
        <v>0</v>
      </c>
    </row>
    <row r="125" spans="2:19" hidden="1">
      <c r="B125" s="511">
        <v>113</v>
      </c>
      <c r="C125" s="540"/>
      <c r="D125" s="541"/>
      <c r="E125" s="542"/>
      <c r="F125" s="543"/>
      <c r="G125" s="36"/>
      <c r="H125" s="554">
        <f>IF(Consolidado_Geral!$G$133=7.6%,-(0.0165+0.076)*F125,0)</f>
        <v>0</v>
      </c>
      <c r="I125" s="36"/>
      <c r="J125" s="548"/>
      <c r="K125" s="549"/>
      <c r="L125" s="496"/>
      <c r="M125" s="557">
        <f t="shared" si="4"/>
        <v>0</v>
      </c>
      <c r="N125" s="556"/>
      <c r="O125" s="557">
        <f t="shared" si="3"/>
        <v>0</v>
      </c>
      <c r="Q125" s="552"/>
      <c r="S125" s="557">
        <f t="shared" si="5"/>
        <v>0</v>
      </c>
    </row>
    <row r="126" spans="2:19" hidden="1">
      <c r="B126" s="511">
        <v>114</v>
      </c>
      <c r="C126" s="540"/>
      <c r="D126" s="541"/>
      <c r="E126" s="542"/>
      <c r="F126" s="543"/>
      <c r="G126" s="36"/>
      <c r="H126" s="554">
        <f>IF(Consolidado_Geral!$G$133=7.6%,-(0.0165+0.076)*F126,0)</f>
        <v>0</v>
      </c>
      <c r="I126" s="36"/>
      <c r="J126" s="548"/>
      <c r="K126" s="549"/>
      <c r="L126" s="496"/>
      <c r="M126" s="557">
        <f t="shared" si="4"/>
        <v>0</v>
      </c>
      <c r="N126" s="556"/>
      <c r="O126" s="557">
        <f t="shared" si="3"/>
        <v>0</v>
      </c>
      <c r="P126" s="496"/>
      <c r="Q126" s="552"/>
      <c r="R126" s="496"/>
      <c r="S126" s="557">
        <f t="shared" si="5"/>
        <v>0</v>
      </c>
    </row>
    <row r="127" spans="2:19" hidden="1">
      <c r="B127" s="511">
        <v>115</v>
      </c>
      <c r="C127" s="540"/>
      <c r="D127" s="541"/>
      <c r="E127" s="542"/>
      <c r="F127" s="543"/>
      <c r="G127" s="36"/>
      <c r="H127" s="554">
        <f>IF(Consolidado_Geral!$G$133=7.6%,-(0.0165+0.076)*F127,0)</f>
        <v>0</v>
      </c>
      <c r="I127" s="36"/>
      <c r="J127" s="548"/>
      <c r="K127" s="549"/>
      <c r="L127" s="496"/>
      <c r="M127" s="557">
        <f t="shared" si="4"/>
        <v>0</v>
      </c>
      <c r="N127" s="556"/>
      <c r="O127" s="557">
        <f t="shared" si="3"/>
        <v>0</v>
      </c>
      <c r="P127" s="496"/>
      <c r="Q127" s="552"/>
      <c r="R127" s="496"/>
      <c r="S127" s="557">
        <f t="shared" si="5"/>
        <v>0</v>
      </c>
    </row>
    <row r="128" spans="2:19" hidden="1">
      <c r="B128" s="511">
        <v>116</v>
      </c>
      <c r="C128" s="540"/>
      <c r="D128" s="541"/>
      <c r="E128" s="542"/>
      <c r="F128" s="543"/>
      <c r="G128" s="36"/>
      <c r="H128" s="554">
        <f>IF(Consolidado_Geral!$G$133=7.6%,-(0.0165+0.076)*F128,0)</f>
        <v>0</v>
      </c>
      <c r="I128" s="36"/>
      <c r="J128" s="548"/>
      <c r="K128" s="549"/>
      <c r="L128" s="496"/>
      <c r="M128" s="557">
        <f t="shared" si="4"/>
        <v>0</v>
      </c>
      <c r="N128" s="556"/>
      <c r="O128" s="557">
        <f t="shared" si="3"/>
        <v>0</v>
      </c>
      <c r="P128" s="496"/>
      <c r="Q128" s="552"/>
      <c r="R128" s="496"/>
      <c r="S128" s="557">
        <f t="shared" si="5"/>
        <v>0</v>
      </c>
    </row>
    <row r="129" spans="2:19" hidden="1">
      <c r="B129" s="511">
        <v>117</v>
      </c>
      <c r="C129" s="540"/>
      <c r="D129" s="541"/>
      <c r="E129" s="542"/>
      <c r="F129" s="543"/>
      <c r="G129" s="36"/>
      <c r="H129" s="554">
        <f>IF(Consolidado_Geral!$G$133=7.6%,-(0.0165+0.076)*F129,0)</f>
        <v>0</v>
      </c>
      <c r="I129" s="36"/>
      <c r="J129" s="548"/>
      <c r="K129" s="549"/>
      <c r="L129" s="496"/>
      <c r="M129" s="557">
        <f t="shared" si="4"/>
        <v>0</v>
      </c>
      <c r="N129" s="556"/>
      <c r="O129" s="557">
        <f t="shared" si="3"/>
        <v>0</v>
      </c>
      <c r="P129" s="496"/>
      <c r="Q129" s="552"/>
      <c r="R129" s="496"/>
      <c r="S129" s="557">
        <f t="shared" si="5"/>
        <v>0</v>
      </c>
    </row>
    <row r="130" spans="2:19" hidden="1">
      <c r="B130" s="511">
        <v>118</v>
      </c>
      <c r="C130" s="540"/>
      <c r="D130" s="541"/>
      <c r="E130" s="542"/>
      <c r="F130" s="543"/>
      <c r="G130" s="36"/>
      <c r="H130" s="554">
        <f>IF(Consolidado_Geral!$G$133=7.6%,-(0.0165+0.076)*F130,0)</f>
        <v>0</v>
      </c>
      <c r="I130" s="36"/>
      <c r="J130" s="548"/>
      <c r="K130" s="549"/>
      <c r="L130" s="496"/>
      <c r="M130" s="557">
        <f t="shared" si="4"/>
        <v>0</v>
      </c>
      <c r="N130" s="556"/>
      <c r="O130" s="557">
        <f t="shared" si="3"/>
        <v>0</v>
      </c>
      <c r="P130" s="496"/>
      <c r="Q130" s="552"/>
      <c r="R130" s="496"/>
      <c r="S130" s="557">
        <f t="shared" si="5"/>
        <v>0</v>
      </c>
    </row>
    <row r="131" spans="2:19" hidden="1">
      <c r="B131" s="511">
        <v>119</v>
      </c>
      <c r="C131" s="540"/>
      <c r="D131" s="541"/>
      <c r="E131" s="542"/>
      <c r="F131" s="543"/>
      <c r="G131" s="36"/>
      <c r="H131" s="554">
        <f>IF(Consolidado_Geral!$G$133=7.6%,-(0.0165+0.076)*F131,0)</f>
        <v>0</v>
      </c>
      <c r="I131" s="36"/>
      <c r="J131" s="548"/>
      <c r="K131" s="549"/>
      <c r="L131" s="496"/>
      <c r="M131" s="557">
        <f t="shared" si="4"/>
        <v>0</v>
      </c>
      <c r="N131" s="556"/>
      <c r="O131" s="557">
        <f t="shared" si="3"/>
        <v>0</v>
      </c>
      <c r="P131" s="496"/>
      <c r="Q131" s="552"/>
      <c r="R131" s="496"/>
      <c r="S131" s="557">
        <f t="shared" si="5"/>
        <v>0</v>
      </c>
    </row>
    <row r="132" spans="2:19" hidden="1">
      <c r="B132" s="511">
        <v>120</v>
      </c>
      <c r="C132" s="540"/>
      <c r="D132" s="541"/>
      <c r="E132" s="542"/>
      <c r="F132" s="543"/>
      <c r="G132" s="36"/>
      <c r="H132" s="554">
        <f>IF(Consolidado_Geral!$G$133=7.6%,-(0.0165+0.076)*F132,0)</f>
        <v>0</v>
      </c>
      <c r="I132" s="36"/>
      <c r="J132" s="548"/>
      <c r="K132" s="549"/>
      <c r="L132" s="496"/>
      <c r="M132" s="557">
        <f t="shared" si="4"/>
        <v>0</v>
      </c>
      <c r="N132" s="556"/>
      <c r="O132" s="557">
        <f t="shared" si="3"/>
        <v>0</v>
      </c>
      <c r="P132" s="496"/>
      <c r="Q132" s="552"/>
      <c r="R132" s="496"/>
      <c r="S132" s="557">
        <f t="shared" si="5"/>
        <v>0</v>
      </c>
    </row>
    <row r="133" spans="2:19" hidden="1">
      <c r="B133" s="511">
        <v>121</v>
      </c>
      <c r="C133" s="540"/>
      <c r="D133" s="541"/>
      <c r="E133" s="542"/>
      <c r="F133" s="543"/>
      <c r="G133" s="36"/>
      <c r="H133" s="554">
        <f>IF(Consolidado_Geral!$G$133=7.6%,-(0.0165+0.076)*F133,0)</f>
        <v>0</v>
      </c>
      <c r="I133" s="36"/>
      <c r="J133" s="548"/>
      <c r="K133" s="549"/>
      <c r="L133" s="496"/>
      <c r="M133" s="557">
        <f t="shared" si="4"/>
        <v>0</v>
      </c>
      <c r="N133" s="556"/>
      <c r="O133" s="557">
        <f t="shared" si="3"/>
        <v>0</v>
      </c>
      <c r="P133" s="496"/>
      <c r="Q133" s="552"/>
      <c r="R133" s="496"/>
      <c r="S133" s="557">
        <f t="shared" si="5"/>
        <v>0</v>
      </c>
    </row>
    <row r="134" spans="2:19" hidden="1">
      <c r="B134" s="511">
        <v>122</v>
      </c>
      <c r="C134" s="540"/>
      <c r="D134" s="541"/>
      <c r="E134" s="542"/>
      <c r="F134" s="543"/>
      <c r="G134" s="36"/>
      <c r="H134" s="554">
        <f>IF(Consolidado_Geral!$G$133=7.6%,-(0.0165+0.076)*F134,0)</f>
        <v>0</v>
      </c>
      <c r="I134" s="36"/>
      <c r="J134" s="548"/>
      <c r="K134" s="549"/>
      <c r="L134" s="496"/>
      <c r="M134" s="557">
        <f t="shared" si="4"/>
        <v>0</v>
      </c>
      <c r="N134" s="556"/>
      <c r="O134" s="557">
        <f t="shared" si="3"/>
        <v>0</v>
      </c>
      <c r="P134" s="496"/>
      <c r="Q134" s="552"/>
      <c r="R134" s="496"/>
      <c r="S134" s="557">
        <f t="shared" si="5"/>
        <v>0</v>
      </c>
    </row>
    <row r="135" spans="2:19" hidden="1">
      <c r="B135" s="511">
        <v>123</v>
      </c>
      <c r="C135" s="540"/>
      <c r="D135" s="541"/>
      <c r="E135" s="542"/>
      <c r="F135" s="543"/>
      <c r="G135" s="36"/>
      <c r="H135" s="554">
        <f>IF(Consolidado_Geral!$G$133=7.6%,-(0.0165+0.076)*F135,0)</f>
        <v>0</v>
      </c>
      <c r="I135" s="36"/>
      <c r="J135" s="548"/>
      <c r="K135" s="549"/>
      <c r="L135" s="496"/>
      <c r="M135" s="557">
        <f t="shared" si="4"/>
        <v>0</v>
      </c>
      <c r="N135" s="556"/>
      <c r="O135" s="557">
        <f t="shared" si="3"/>
        <v>0</v>
      </c>
      <c r="P135" s="496"/>
      <c r="Q135" s="552"/>
      <c r="R135" s="496"/>
      <c r="S135" s="557">
        <f t="shared" si="5"/>
        <v>0</v>
      </c>
    </row>
    <row r="136" spans="2:19" hidden="1">
      <c r="B136" s="511">
        <v>124</v>
      </c>
      <c r="C136" s="540"/>
      <c r="D136" s="541"/>
      <c r="E136" s="542"/>
      <c r="F136" s="543"/>
      <c r="G136" s="36"/>
      <c r="H136" s="554">
        <f>IF(Consolidado_Geral!$G$133=7.6%,-(0.0165+0.076)*F136,0)</f>
        <v>0</v>
      </c>
      <c r="I136" s="36"/>
      <c r="J136" s="548"/>
      <c r="K136" s="549"/>
      <c r="L136" s="496"/>
      <c r="M136" s="557">
        <f t="shared" si="4"/>
        <v>0</v>
      </c>
      <c r="N136" s="556"/>
      <c r="O136" s="557">
        <f t="shared" si="3"/>
        <v>0</v>
      </c>
      <c r="P136" s="496"/>
      <c r="Q136" s="552"/>
      <c r="R136" s="496"/>
      <c r="S136" s="557">
        <f t="shared" si="5"/>
        <v>0</v>
      </c>
    </row>
    <row r="137" spans="2:19" hidden="1">
      <c r="B137" s="511">
        <v>125</v>
      </c>
      <c r="C137" s="540"/>
      <c r="D137" s="541"/>
      <c r="E137" s="542"/>
      <c r="F137" s="543"/>
      <c r="G137" s="36"/>
      <c r="H137" s="554">
        <f>IF(Consolidado_Geral!$G$133=7.6%,-(0.0165+0.076)*F137,0)</f>
        <v>0</v>
      </c>
      <c r="I137" s="36"/>
      <c r="J137" s="548"/>
      <c r="K137" s="549"/>
      <c r="L137" s="496"/>
      <c r="M137" s="557">
        <f t="shared" si="4"/>
        <v>0</v>
      </c>
      <c r="N137" s="556"/>
      <c r="O137" s="557">
        <f t="shared" si="3"/>
        <v>0</v>
      </c>
      <c r="Q137" s="552"/>
      <c r="S137" s="557">
        <f t="shared" si="5"/>
        <v>0</v>
      </c>
    </row>
    <row r="138" spans="2:19" hidden="1">
      <c r="B138" s="511">
        <v>126</v>
      </c>
      <c r="C138" s="540"/>
      <c r="D138" s="541"/>
      <c r="E138" s="542"/>
      <c r="F138" s="543"/>
      <c r="G138" s="36"/>
      <c r="H138" s="554">
        <f>IF(Consolidado_Geral!$G$133=7.6%,-(0.0165+0.076)*F138,0)</f>
        <v>0</v>
      </c>
      <c r="I138" s="36"/>
      <c r="J138" s="548"/>
      <c r="K138" s="549"/>
      <c r="L138" s="496"/>
      <c r="M138" s="557">
        <f t="shared" si="4"/>
        <v>0</v>
      </c>
      <c r="N138" s="556"/>
      <c r="O138" s="557">
        <f t="shared" si="3"/>
        <v>0</v>
      </c>
      <c r="Q138" s="552"/>
      <c r="S138" s="557">
        <f t="shared" si="5"/>
        <v>0</v>
      </c>
    </row>
    <row r="139" spans="2:19" hidden="1">
      <c r="B139" s="511">
        <v>127</v>
      </c>
      <c r="C139" s="540"/>
      <c r="D139" s="541"/>
      <c r="E139" s="542"/>
      <c r="F139" s="543"/>
      <c r="G139" s="36"/>
      <c r="H139" s="554">
        <f>IF(Consolidado_Geral!$G$133=7.6%,-(0.0165+0.076)*F139,0)</f>
        <v>0</v>
      </c>
      <c r="I139" s="36"/>
      <c r="J139" s="548"/>
      <c r="K139" s="549"/>
      <c r="L139" s="496"/>
      <c r="M139" s="557">
        <f t="shared" si="4"/>
        <v>0</v>
      </c>
      <c r="N139" s="556"/>
      <c r="O139" s="557">
        <f t="shared" si="3"/>
        <v>0</v>
      </c>
      <c r="Q139" s="552"/>
      <c r="S139" s="557">
        <f t="shared" si="5"/>
        <v>0</v>
      </c>
    </row>
    <row r="140" spans="2:19" hidden="1">
      <c r="B140" s="511">
        <v>128</v>
      </c>
      <c r="C140" s="540"/>
      <c r="D140" s="541"/>
      <c r="E140" s="542"/>
      <c r="F140" s="543"/>
      <c r="G140" s="36"/>
      <c r="H140" s="554">
        <f>IF(Consolidado_Geral!$G$133=7.6%,-(0.0165+0.076)*F140,0)</f>
        <v>0</v>
      </c>
      <c r="I140" s="36"/>
      <c r="J140" s="548"/>
      <c r="K140" s="549"/>
      <c r="L140" s="496"/>
      <c r="M140" s="557">
        <f t="shared" si="4"/>
        <v>0</v>
      </c>
      <c r="N140" s="556"/>
      <c r="O140" s="557">
        <f t="shared" si="3"/>
        <v>0</v>
      </c>
      <c r="Q140" s="552"/>
      <c r="S140" s="557">
        <f t="shared" si="5"/>
        <v>0</v>
      </c>
    </row>
    <row r="141" spans="2:19" hidden="1">
      <c r="B141" s="511">
        <v>129</v>
      </c>
      <c r="C141" s="540"/>
      <c r="D141" s="541"/>
      <c r="E141" s="542"/>
      <c r="F141" s="543"/>
      <c r="G141" s="36"/>
      <c r="H141" s="554">
        <f>IF(Consolidado_Geral!$G$133=7.6%,-(0.0165+0.076)*F141,0)</f>
        <v>0</v>
      </c>
      <c r="I141" s="36"/>
      <c r="J141" s="548"/>
      <c r="K141" s="549"/>
      <c r="L141" s="496"/>
      <c r="M141" s="557">
        <f t="shared" si="4"/>
        <v>0</v>
      </c>
      <c r="N141" s="556"/>
      <c r="O141" s="557">
        <f t="shared" ref="O141:O204" si="6">IF(E141=0,0,(M141/K141)*E141)</f>
        <v>0</v>
      </c>
      <c r="Q141" s="552"/>
      <c r="S141" s="557">
        <f t="shared" si="5"/>
        <v>0</v>
      </c>
    </row>
    <row r="142" spans="2:19" hidden="1">
      <c r="B142" s="511">
        <v>130</v>
      </c>
      <c r="C142" s="540"/>
      <c r="D142" s="541"/>
      <c r="E142" s="542"/>
      <c r="F142" s="543"/>
      <c r="G142" s="36"/>
      <c r="H142" s="554">
        <f>IF(Consolidado_Geral!$G$133=7.6%,-(0.0165+0.076)*F142,0)</f>
        <v>0</v>
      </c>
      <c r="I142" s="36"/>
      <c r="J142" s="548"/>
      <c r="K142" s="549"/>
      <c r="L142" s="496"/>
      <c r="M142" s="557">
        <f t="shared" ref="M142:M205" si="7">IF(E142&gt;0,(F142+H142)-J142,0)</f>
        <v>0</v>
      </c>
      <c r="N142" s="556"/>
      <c r="O142" s="557">
        <f t="shared" si="6"/>
        <v>0</v>
      </c>
      <c r="Q142" s="552"/>
      <c r="S142" s="557">
        <f t="shared" ref="S142:S205" si="8">E142*(M142*Q142)</f>
        <v>0</v>
      </c>
    </row>
    <row r="143" spans="2:19" hidden="1">
      <c r="B143" s="511">
        <v>131</v>
      </c>
      <c r="C143" s="540"/>
      <c r="D143" s="541"/>
      <c r="E143" s="542"/>
      <c r="F143" s="543"/>
      <c r="G143" s="36"/>
      <c r="H143" s="554">
        <f>IF(Consolidado_Geral!$G$133=7.6%,-(0.0165+0.076)*F143,0)</f>
        <v>0</v>
      </c>
      <c r="I143" s="36"/>
      <c r="J143" s="548"/>
      <c r="K143" s="549"/>
      <c r="L143" s="496"/>
      <c r="M143" s="557">
        <f t="shared" si="7"/>
        <v>0</v>
      </c>
      <c r="N143" s="556"/>
      <c r="O143" s="557">
        <f t="shared" si="6"/>
        <v>0</v>
      </c>
      <c r="Q143" s="552"/>
      <c r="S143" s="557">
        <f t="shared" si="8"/>
        <v>0</v>
      </c>
    </row>
    <row r="144" spans="2:19" hidden="1">
      <c r="B144" s="511">
        <v>132</v>
      </c>
      <c r="C144" s="540"/>
      <c r="D144" s="541"/>
      <c r="E144" s="542"/>
      <c r="F144" s="543"/>
      <c r="G144" s="36"/>
      <c r="H144" s="554">
        <f>IF(Consolidado_Geral!$G$133=7.6%,-(0.0165+0.076)*F144,0)</f>
        <v>0</v>
      </c>
      <c r="I144" s="36"/>
      <c r="J144" s="548"/>
      <c r="K144" s="549"/>
      <c r="L144" s="496"/>
      <c r="M144" s="557">
        <f t="shared" si="7"/>
        <v>0</v>
      </c>
      <c r="N144" s="556"/>
      <c r="O144" s="557">
        <f t="shared" si="6"/>
        <v>0</v>
      </c>
      <c r="Q144" s="552"/>
      <c r="S144" s="557">
        <f t="shared" si="8"/>
        <v>0</v>
      </c>
    </row>
    <row r="145" spans="2:19" hidden="1">
      <c r="B145" s="511">
        <v>133</v>
      </c>
      <c r="C145" s="540"/>
      <c r="D145" s="541"/>
      <c r="E145" s="542"/>
      <c r="F145" s="543"/>
      <c r="G145" s="36"/>
      <c r="H145" s="554">
        <f>IF(Consolidado_Geral!$G$133=7.6%,-(0.0165+0.076)*F145,0)</f>
        <v>0</v>
      </c>
      <c r="I145" s="36"/>
      <c r="J145" s="548"/>
      <c r="K145" s="549"/>
      <c r="L145" s="496"/>
      <c r="M145" s="557">
        <f t="shared" si="7"/>
        <v>0</v>
      </c>
      <c r="N145" s="556"/>
      <c r="O145" s="557">
        <f t="shared" si="6"/>
        <v>0</v>
      </c>
      <c r="Q145" s="552"/>
      <c r="S145" s="557">
        <f t="shared" si="8"/>
        <v>0</v>
      </c>
    </row>
    <row r="146" spans="2:19" hidden="1">
      <c r="B146" s="511">
        <v>134</v>
      </c>
      <c r="C146" s="540"/>
      <c r="D146" s="541"/>
      <c r="E146" s="542"/>
      <c r="F146" s="543"/>
      <c r="G146" s="36"/>
      <c r="H146" s="554">
        <f>IF(Consolidado_Geral!$G$133=7.6%,-(0.0165+0.076)*F146,0)</f>
        <v>0</v>
      </c>
      <c r="I146" s="36"/>
      <c r="J146" s="548"/>
      <c r="K146" s="549"/>
      <c r="L146" s="496"/>
      <c r="M146" s="557">
        <f t="shared" si="7"/>
        <v>0</v>
      </c>
      <c r="N146" s="556"/>
      <c r="O146" s="557">
        <f t="shared" si="6"/>
        <v>0</v>
      </c>
      <c r="Q146" s="552"/>
      <c r="S146" s="557">
        <f t="shared" si="8"/>
        <v>0</v>
      </c>
    </row>
    <row r="147" spans="2:19" hidden="1">
      <c r="B147" s="511">
        <v>135</v>
      </c>
      <c r="C147" s="540"/>
      <c r="D147" s="541"/>
      <c r="E147" s="542"/>
      <c r="F147" s="543"/>
      <c r="G147" s="36"/>
      <c r="H147" s="554">
        <f>IF(Consolidado_Geral!$G$133=7.6%,-(0.0165+0.076)*F147,0)</f>
        <v>0</v>
      </c>
      <c r="I147" s="36"/>
      <c r="J147" s="548"/>
      <c r="K147" s="549"/>
      <c r="L147" s="496"/>
      <c r="M147" s="557">
        <f t="shared" si="7"/>
        <v>0</v>
      </c>
      <c r="N147" s="556"/>
      <c r="O147" s="557">
        <f t="shared" si="6"/>
        <v>0</v>
      </c>
      <c r="Q147" s="552"/>
      <c r="S147" s="557">
        <f t="shared" si="8"/>
        <v>0</v>
      </c>
    </row>
    <row r="148" spans="2:19" hidden="1">
      <c r="B148" s="511">
        <v>136</v>
      </c>
      <c r="C148" s="540"/>
      <c r="D148" s="541"/>
      <c r="E148" s="542"/>
      <c r="F148" s="543"/>
      <c r="G148" s="36"/>
      <c r="H148" s="554">
        <f>IF(Consolidado_Geral!$G$133=7.6%,-(0.0165+0.076)*F148,0)</f>
        <v>0</v>
      </c>
      <c r="I148" s="36"/>
      <c r="J148" s="548"/>
      <c r="K148" s="549"/>
      <c r="L148" s="496"/>
      <c r="M148" s="557">
        <f t="shared" si="7"/>
        <v>0</v>
      </c>
      <c r="N148" s="556"/>
      <c r="O148" s="557">
        <f t="shared" si="6"/>
        <v>0</v>
      </c>
      <c r="Q148" s="552"/>
      <c r="S148" s="557">
        <f t="shared" si="8"/>
        <v>0</v>
      </c>
    </row>
    <row r="149" spans="2:19" hidden="1">
      <c r="B149" s="511">
        <v>137</v>
      </c>
      <c r="C149" s="540"/>
      <c r="D149" s="541"/>
      <c r="E149" s="542"/>
      <c r="F149" s="543"/>
      <c r="G149" s="36"/>
      <c r="H149" s="554">
        <f>IF(Consolidado_Geral!$G$133=7.6%,-(0.0165+0.076)*F149,0)</f>
        <v>0</v>
      </c>
      <c r="I149" s="36"/>
      <c r="J149" s="548"/>
      <c r="K149" s="549"/>
      <c r="L149" s="496"/>
      <c r="M149" s="557">
        <f t="shared" si="7"/>
        <v>0</v>
      </c>
      <c r="N149" s="556"/>
      <c r="O149" s="557">
        <f t="shared" si="6"/>
        <v>0</v>
      </c>
      <c r="Q149" s="552"/>
      <c r="S149" s="557">
        <f t="shared" si="8"/>
        <v>0</v>
      </c>
    </row>
    <row r="150" spans="2:19" hidden="1">
      <c r="B150" s="511">
        <v>138</v>
      </c>
      <c r="C150" s="540"/>
      <c r="D150" s="541"/>
      <c r="E150" s="542"/>
      <c r="F150" s="543"/>
      <c r="G150" s="36"/>
      <c r="H150" s="554">
        <f>IF(Consolidado_Geral!$G$133=7.6%,-(0.0165+0.076)*F150,0)</f>
        <v>0</v>
      </c>
      <c r="I150" s="36"/>
      <c r="J150" s="548"/>
      <c r="K150" s="549"/>
      <c r="L150" s="496"/>
      <c r="M150" s="557">
        <f t="shared" si="7"/>
        <v>0</v>
      </c>
      <c r="N150" s="556"/>
      <c r="O150" s="557">
        <f t="shared" si="6"/>
        <v>0</v>
      </c>
      <c r="Q150" s="552"/>
      <c r="S150" s="557">
        <f t="shared" si="8"/>
        <v>0</v>
      </c>
    </row>
    <row r="151" spans="2:19" hidden="1">
      <c r="B151" s="511">
        <v>139</v>
      </c>
      <c r="C151" s="540"/>
      <c r="D151" s="541"/>
      <c r="E151" s="542"/>
      <c r="F151" s="543"/>
      <c r="G151" s="36"/>
      <c r="H151" s="554">
        <f>IF(Consolidado_Geral!$G$133=7.6%,-(0.0165+0.076)*F151,0)</f>
        <v>0</v>
      </c>
      <c r="I151" s="36"/>
      <c r="J151" s="548"/>
      <c r="K151" s="549"/>
      <c r="L151" s="496"/>
      <c r="M151" s="557">
        <f t="shared" si="7"/>
        <v>0</v>
      </c>
      <c r="N151" s="556"/>
      <c r="O151" s="557">
        <f t="shared" si="6"/>
        <v>0</v>
      </c>
      <c r="Q151" s="552"/>
      <c r="S151" s="557">
        <f t="shared" si="8"/>
        <v>0</v>
      </c>
    </row>
    <row r="152" spans="2:19" hidden="1">
      <c r="B152" s="511">
        <v>140</v>
      </c>
      <c r="C152" s="540"/>
      <c r="D152" s="541"/>
      <c r="E152" s="542"/>
      <c r="F152" s="543"/>
      <c r="G152" s="36"/>
      <c r="H152" s="554">
        <f>IF(Consolidado_Geral!$G$133=7.6%,-(0.0165+0.076)*F152,0)</f>
        <v>0</v>
      </c>
      <c r="I152" s="36"/>
      <c r="J152" s="548"/>
      <c r="K152" s="549"/>
      <c r="L152" s="496"/>
      <c r="M152" s="557">
        <f t="shared" si="7"/>
        <v>0</v>
      </c>
      <c r="N152" s="556"/>
      <c r="O152" s="557">
        <f t="shared" si="6"/>
        <v>0</v>
      </c>
      <c r="Q152" s="552"/>
      <c r="S152" s="557">
        <f t="shared" si="8"/>
        <v>0</v>
      </c>
    </row>
    <row r="153" spans="2:19" hidden="1">
      <c r="B153" s="511">
        <v>141</v>
      </c>
      <c r="C153" s="540"/>
      <c r="D153" s="541"/>
      <c r="E153" s="542"/>
      <c r="F153" s="543"/>
      <c r="G153" s="36"/>
      <c r="H153" s="554">
        <f>IF(Consolidado_Geral!$G$133=7.6%,-(0.0165+0.076)*F153,0)</f>
        <v>0</v>
      </c>
      <c r="I153" s="36"/>
      <c r="J153" s="548"/>
      <c r="K153" s="549"/>
      <c r="L153" s="496"/>
      <c r="M153" s="557">
        <f t="shared" si="7"/>
        <v>0</v>
      </c>
      <c r="N153" s="556"/>
      <c r="O153" s="557">
        <f t="shared" si="6"/>
        <v>0</v>
      </c>
      <c r="Q153" s="552"/>
      <c r="S153" s="557">
        <f t="shared" si="8"/>
        <v>0</v>
      </c>
    </row>
    <row r="154" spans="2:19" hidden="1">
      <c r="B154" s="511">
        <v>142</v>
      </c>
      <c r="C154" s="540"/>
      <c r="D154" s="541"/>
      <c r="E154" s="542"/>
      <c r="F154" s="543"/>
      <c r="G154" s="36"/>
      <c r="H154" s="554">
        <f>IF(Consolidado_Geral!$G$133=7.6%,-(0.0165+0.076)*F154,0)</f>
        <v>0</v>
      </c>
      <c r="I154" s="36"/>
      <c r="J154" s="548"/>
      <c r="K154" s="549"/>
      <c r="L154" s="496"/>
      <c r="M154" s="557">
        <f t="shared" si="7"/>
        <v>0</v>
      </c>
      <c r="N154" s="556"/>
      <c r="O154" s="557">
        <f t="shared" si="6"/>
        <v>0</v>
      </c>
      <c r="Q154" s="552"/>
      <c r="S154" s="557">
        <f t="shared" si="8"/>
        <v>0</v>
      </c>
    </row>
    <row r="155" spans="2:19" hidden="1">
      <c r="B155" s="511">
        <v>143</v>
      </c>
      <c r="C155" s="540"/>
      <c r="D155" s="541"/>
      <c r="E155" s="542"/>
      <c r="F155" s="543"/>
      <c r="G155" s="36"/>
      <c r="H155" s="554">
        <f>IF(Consolidado_Geral!$G$133=7.6%,-(0.0165+0.076)*F155,0)</f>
        <v>0</v>
      </c>
      <c r="I155" s="36"/>
      <c r="J155" s="548"/>
      <c r="K155" s="549"/>
      <c r="L155" s="496"/>
      <c r="M155" s="557">
        <f t="shared" si="7"/>
        <v>0</v>
      </c>
      <c r="N155" s="556"/>
      <c r="O155" s="557">
        <f t="shared" si="6"/>
        <v>0</v>
      </c>
      <c r="Q155" s="552"/>
      <c r="S155" s="557">
        <f t="shared" si="8"/>
        <v>0</v>
      </c>
    </row>
    <row r="156" spans="2:19" hidden="1">
      <c r="B156" s="511">
        <v>144</v>
      </c>
      <c r="C156" s="540"/>
      <c r="D156" s="541"/>
      <c r="E156" s="542"/>
      <c r="F156" s="543"/>
      <c r="G156" s="36"/>
      <c r="H156" s="554">
        <f>IF(Consolidado_Geral!$G$133=7.6%,-(0.0165+0.076)*F156,0)</f>
        <v>0</v>
      </c>
      <c r="I156" s="36"/>
      <c r="J156" s="548"/>
      <c r="K156" s="549"/>
      <c r="L156" s="496"/>
      <c r="M156" s="557">
        <f t="shared" si="7"/>
        <v>0</v>
      </c>
      <c r="N156" s="556"/>
      <c r="O156" s="557">
        <f t="shared" si="6"/>
        <v>0</v>
      </c>
      <c r="Q156" s="552"/>
      <c r="S156" s="557">
        <f t="shared" si="8"/>
        <v>0</v>
      </c>
    </row>
    <row r="157" spans="2:19" hidden="1">
      <c r="B157" s="511">
        <v>145</v>
      </c>
      <c r="C157" s="540"/>
      <c r="D157" s="541"/>
      <c r="E157" s="542"/>
      <c r="F157" s="543"/>
      <c r="G157" s="36"/>
      <c r="H157" s="554">
        <f>IF(Consolidado_Geral!$G$133=7.6%,-(0.0165+0.076)*F157,0)</f>
        <v>0</v>
      </c>
      <c r="I157" s="36"/>
      <c r="J157" s="548"/>
      <c r="K157" s="549"/>
      <c r="L157" s="496"/>
      <c r="M157" s="557">
        <f t="shared" si="7"/>
        <v>0</v>
      </c>
      <c r="N157" s="556"/>
      <c r="O157" s="557">
        <f t="shared" si="6"/>
        <v>0</v>
      </c>
      <c r="Q157" s="552"/>
      <c r="S157" s="557">
        <f t="shared" si="8"/>
        <v>0</v>
      </c>
    </row>
    <row r="158" spans="2:19" hidden="1">
      <c r="B158" s="511">
        <v>146</v>
      </c>
      <c r="C158" s="540"/>
      <c r="D158" s="541"/>
      <c r="E158" s="542"/>
      <c r="F158" s="543"/>
      <c r="G158" s="36"/>
      <c r="H158" s="554">
        <f>IF(Consolidado_Geral!$G$133=7.6%,-(0.0165+0.076)*F158,0)</f>
        <v>0</v>
      </c>
      <c r="I158" s="36"/>
      <c r="J158" s="548"/>
      <c r="K158" s="549"/>
      <c r="L158" s="496"/>
      <c r="M158" s="557">
        <f t="shared" si="7"/>
        <v>0</v>
      </c>
      <c r="N158" s="556"/>
      <c r="O158" s="557">
        <f t="shared" si="6"/>
        <v>0</v>
      </c>
      <c r="Q158" s="552"/>
      <c r="S158" s="557">
        <f t="shared" si="8"/>
        <v>0</v>
      </c>
    </row>
    <row r="159" spans="2:19" hidden="1">
      <c r="B159" s="511">
        <v>147</v>
      </c>
      <c r="C159" s="540"/>
      <c r="D159" s="541"/>
      <c r="E159" s="542"/>
      <c r="F159" s="543"/>
      <c r="G159" s="36"/>
      <c r="H159" s="554">
        <f>IF(Consolidado_Geral!$G$133=7.6%,-(0.0165+0.076)*F159,0)</f>
        <v>0</v>
      </c>
      <c r="I159" s="36"/>
      <c r="J159" s="548"/>
      <c r="K159" s="549"/>
      <c r="L159" s="496"/>
      <c r="M159" s="557">
        <f t="shared" si="7"/>
        <v>0</v>
      </c>
      <c r="N159" s="556"/>
      <c r="O159" s="557">
        <f t="shared" si="6"/>
        <v>0</v>
      </c>
      <c r="Q159" s="552"/>
      <c r="S159" s="557">
        <f t="shared" si="8"/>
        <v>0</v>
      </c>
    </row>
    <row r="160" spans="2:19" hidden="1">
      <c r="B160" s="511">
        <v>148</v>
      </c>
      <c r="C160" s="540"/>
      <c r="D160" s="541"/>
      <c r="E160" s="542"/>
      <c r="F160" s="543"/>
      <c r="G160" s="36"/>
      <c r="H160" s="554">
        <f>IF(Consolidado_Geral!$G$133=7.6%,-(0.0165+0.076)*F160,0)</f>
        <v>0</v>
      </c>
      <c r="I160" s="36"/>
      <c r="J160" s="548"/>
      <c r="K160" s="549"/>
      <c r="L160" s="496"/>
      <c r="M160" s="557">
        <f t="shared" si="7"/>
        <v>0</v>
      </c>
      <c r="N160" s="556"/>
      <c r="O160" s="557">
        <f t="shared" si="6"/>
        <v>0</v>
      </c>
      <c r="Q160" s="552"/>
      <c r="S160" s="557">
        <f t="shared" si="8"/>
        <v>0</v>
      </c>
    </row>
    <row r="161" spans="2:19" hidden="1">
      <c r="B161" s="511">
        <v>149</v>
      </c>
      <c r="C161" s="540"/>
      <c r="D161" s="541"/>
      <c r="E161" s="542"/>
      <c r="F161" s="543"/>
      <c r="G161" s="36"/>
      <c r="H161" s="554">
        <f>IF(Consolidado_Geral!$G$133=7.6%,-(0.0165+0.076)*F161,0)</f>
        <v>0</v>
      </c>
      <c r="I161" s="36"/>
      <c r="J161" s="548"/>
      <c r="K161" s="549"/>
      <c r="L161" s="496"/>
      <c r="M161" s="557">
        <f t="shared" si="7"/>
        <v>0</v>
      </c>
      <c r="N161" s="556"/>
      <c r="O161" s="557">
        <f t="shared" si="6"/>
        <v>0</v>
      </c>
      <c r="Q161" s="552"/>
      <c r="S161" s="557">
        <f t="shared" si="8"/>
        <v>0</v>
      </c>
    </row>
    <row r="162" spans="2:19" hidden="1">
      <c r="B162" s="511">
        <v>150</v>
      </c>
      <c r="C162" s="540"/>
      <c r="D162" s="541"/>
      <c r="E162" s="542"/>
      <c r="F162" s="543"/>
      <c r="G162" s="36"/>
      <c r="H162" s="554">
        <f>IF(Consolidado_Geral!$G$133=7.6%,-(0.0165+0.076)*F162,0)</f>
        <v>0</v>
      </c>
      <c r="I162" s="36"/>
      <c r="J162" s="548"/>
      <c r="K162" s="549"/>
      <c r="L162" s="496"/>
      <c r="M162" s="557">
        <f t="shared" si="7"/>
        <v>0</v>
      </c>
      <c r="N162" s="556"/>
      <c r="O162" s="557">
        <f t="shared" si="6"/>
        <v>0</v>
      </c>
      <c r="P162" s="496"/>
      <c r="Q162" s="552"/>
      <c r="R162" s="496"/>
      <c r="S162" s="557">
        <f t="shared" si="8"/>
        <v>0</v>
      </c>
    </row>
    <row r="163" spans="2:19" hidden="1">
      <c r="B163" s="511">
        <v>151</v>
      </c>
      <c r="C163" s="540"/>
      <c r="D163" s="541"/>
      <c r="E163" s="542"/>
      <c r="F163" s="543"/>
      <c r="G163" s="36"/>
      <c r="H163" s="554">
        <f>IF(Consolidado_Geral!$G$133=7.6%,-(0.0165+0.076)*F163,0)</f>
        <v>0</v>
      </c>
      <c r="I163" s="36"/>
      <c r="J163" s="548"/>
      <c r="K163" s="549"/>
      <c r="L163" s="496"/>
      <c r="M163" s="557">
        <f t="shared" si="7"/>
        <v>0</v>
      </c>
      <c r="N163" s="556"/>
      <c r="O163" s="557">
        <f t="shared" si="6"/>
        <v>0</v>
      </c>
      <c r="P163" s="496"/>
      <c r="Q163" s="552"/>
      <c r="R163" s="496"/>
      <c r="S163" s="557">
        <f t="shared" si="8"/>
        <v>0</v>
      </c>
    </row>
    <row r="164" spans="2:19" hidden="1">
      <c r="B164" s="511">
        <v>152</v>
      </c>
      <c r="C164" s="540"/>
      <c r="D164" s="541"/>
      <c r="E164" s="542"/>
      <c r="F164" s="543"/>
      <c r="G164" s="36"/>
      <c r="H164" s="554">
        <f>IF(Consolidado_Geral!$G$133=7.6%,-(0.0165+0.076)*F164,0)</f>
        <v>0</v>
      </c>
      <c r="I164" s="36"/>
      <c r="J164" s="548"/>
      <c r="K164" s="549"/>
      <c r="L164" s="496"/>
      <c r="M164" s="557">
        <f t="shared" si="7"/>
        <v>0</v>
      </c>
      <c r="N164" s="556"/>
      <c r="O164" s="557">
        <f t="shared" si="6"/>
        <v>0</v>
      </c>
      <c r="P164" s="496"/>
      <c r="Q164" s="552"/>
      <c r="R164" s="496"/>
      <c r="S164" s="557">
        <f t="shared" si="8"/>
        <v>0</v>
      </c>
    </row>
    <row r="165" spans="2:19" hidden="1">
      <c r="B165" s="511">
        <v>153</v>
      </c>
      <c r="C165" s="540"/>
      <c r="D165" s="541"/>
      <c r="E165" s="542"/>
      <c r="F165" s="543"/>
      <c r="G165" s="36"/>
      <c r="H165" s="554">
        <f>IF(Consolidado_Geral!$G$133=7.6%,-(0.0165+0.076)*F165,0)</f>
        <v>0</v>
      </c>
      <c r="I165" s="36"/>
      <c r="J165" s="548"/>
      <c r="K165" s="549"/>
      <c r="L165" s="496"/>
      <c r="M165" s="557">
        <f t="shared" si="7"/>
        <v>0</v>
      </c>
      <c r="N165" s="556"/>
      <c r="O165" s="557">
        <f t="shared" si="6"/>
        <v>0</v>
      </c>
      <c r="P165" s="496"/>
      <c r="Q165" s="552"/>
      <c r="R165" s="496"/>
      <c r="S165" s="557">
        <f t="shared" si="8"/>
        <v>0</v>
      </c>
    </row>
    <row r="166" spans="2:19" hidden="1">
      <c r="B166" s="511">
        <v>154</v>
      </c>
      <c r="C166" s="540"/>
      <c r="D166" s="541"/>
      <c r="E166" s="542"/>
      <c r="F166" s="543"/>
      <c r="G166" s="36"/>
      <c r="H166" s="554">
        <f>IF(Consolidado_Geral!$G$133=7.6%,-(0.0165+0.076)*F166,0)</f>
        <v>0</v>
      </c>
      <c r="I166" s="36"/>
      <c r="J166" s="548"/>
      <c r="K166" s="549"/>
      <c r="L166" s="496"/>
      <c r="M166" s="557">
        <f t="shared" si="7"/>
        <v>0</v>
      </c>
      <c r="N166" s="556"/>
      <c r="O166" s="557">
        <f t="shared" si="6"/>
        <v>0</v>
      </c>
      <c r="P166" s="496"/>
      <c r="Q166" s="552"/>
      <c r="R166" s="496"/>
      <c r="S166" s="557">
        <f t="shared" si="8"/>
        <v>0</v>
      </c>
    </row>
    <row r="167" spans="2:19" hidden="1">
      <c r="B167" s="511">
        <v>155</v>
      </c>
      <c r="C167" s="540"/>
      <c r="D167" s="541"/>
      <c r="E167" s="542"/>
      <c r="F167" s="543"/>
      <c r="G167" s="36"/>
      <c r="H167" s="554">
        <f>IF(Consolidado_Geral!$G$133=7.6%,-(0.0165+0.076)*F167,0)</f>
        <v>0</v>
      </c>
      <c r="I167" s="36"/>
      <c r="J167" s="548"/>
      <c r="K167" s="549"/>
      <c r="L167" s="496"/>
      <c r="M167" s="557">
        <f t="shared" si="7"/>
        <v>0</v>
      </c>
      <c r="N167" s="556"/>
      <c r="O167" s="557">
        <f t="shared" si="6"/>
        <v>0</v>
      </c>
      <c r="P167" s="496"/>
      <c r="Q167" s="552"/>
      <c r="R167" s="496"/>
      <c r="S167" s="557">
        <f t="shared" si="8"/>
        <v>0</v>
      </c>
    </row>
    <row r="168" spans="2:19" hidden="1">
      <c r="B168" s="511">
        <v>156</v>
      </c>
      <c r="C168" s="540"/>
      <c r="D168" s="541"/>
      <c r="E168" s="542"/>
      <c r="F168" s="543"/>
      <c r="G168" s="36"/>
      <c r="H168" s="554">
        <f>IF(Consolidado_Geral!$G$133=7.6%,-(0.0165+0.076)*F168,0)</f>
        <v>0</v>
      </c>
      <c r="I168" s="36"/>
      <c r="J168" s="548"/>
      <c r="K168" s="549"/>
      <c r="L168" s="496"/>
      <c r="M168" s="557">
        <f t="shared" si="7"/>
        <v>0</v>
      </c>
      <c r="N168" s="556"/>
      <c r="O168" s="557">
        <f t="shared" si="6"/>
        <v>0</v>
      </c>
      <c r="P168" s="496"/>
      <c r="Q168" s="552"/>
      <c r="R168" s="496"/>
      <c r="S168" s="557">
        <f t="shared" si="8"/>
        <v>0</v>
      </c>
    </row>
    <row r="169" spans="2:19" hidden="1">
      <c r="B169" s="511">
        <v>157</v>
      </c>
      <c r="C169" s="540"/>
      <c r="D169" s="541"/>
      <c r="E169" s="542"/>
      <c r="F169" s="543"/>
      <c r="G169" s="36"/>
      <c r="H169" s="554">
        <f>IF(Consolidado_Geral!$G$133=7.6%,-(0.0165+0.076)*F169,0)</f>
        <v>0</v>
      </c>
      <c r="I169" s="36"/>
      <c r="J169" s="548"/>
      <c r="K169" s="549"/>
      <c r="L169" s="496"/>
      <c r="M169" s="557">
        <f t="shared" si="7"/>
        <v>0</v>
      </c>
      <c r="N169" s="556"/>
      <c r="O169" s="557">
        <f t="shared" si="6"/>
        <v>0</v>
      </c>
      <c r="P169" s="496"/>
      <c r="Q169" s="552"/>
      <c r="R169" s="496"/>
      <c r="S169" s="557">
        <f t="shared" si="8"/>
        <v>0</v>
      </c>
    </row>
    <row r="170" spans="2:19" hidden="1">
      <c r="B170" s="511">
        <v>158</v>
      </c>
      <c r="C170" s="540"/>
      <c r="D170" s="541"/>
      <c r="E170" s="542"/>
      <c r="F170" s="543"/>
      <c r="G170" s="36"/>
      <c r="H170" s="554">
        <f>IF(Consolidado_Geral!$G$133=7.6%,-(0.0165+0.076)*F170,0)</f>
        <v>0</v>
      </c>
      <c r="I170" s="36"/>
      <c r="J170" s="548"/>
      <c r="K170" s="549"/>
      <c r="L170" s="496"/>
      <c r="M170" s="557">
        <f t="shared" si="7"/>
        <v>0</v>
      </c>
      <c r="N170" s="556"/>
      <c r="O170" s="557">
        <f t="shared" si="6"/>
        <v>0</v>
      </c>
      <c r="P170" s="496"/>
      <c r="Q170" s="552"/>
      <c r="R170" s="496"/>
      <c r="S170" s="557">
        <f t="shared" si="8"/>
        <v>0</v>
      </c>
    </row>
    <row r="171" spans="2:19" hidden="1">
      <c r="B171" s="511">
        <v>159</v>
      </c>
      <c r="C171" s="540"/>
      <c r="D171" s="541"/>
      <c r="E171" s="542"/>
      <c r="F171" s="543"/>
      <c r="G171" s="36"/>
      <c r="H171" s="554">
        <f>IF(Consolidado_Geral!$G$133=7.6%,-(0.0165+0.076)*F171,0)</f>
        <v>0</v>
      </c>
      <c r="I171" s="36"/>
      <c r="J171" s="548"/>
      <c r="K171" s="549"/>
      <c r="L171" s="496"/>
      <c r="M171" s="557">
        <f t="shared" si="7"/>
        <v>0</v>
      </c>
      <c r="N171" s="556"/>
      <c r="O171" s="557">
        <f t="shared" si="6"/>
        <v>0</v>
      </c>
      <c r="P171" s="496"/>
      <c r="Q171" s="552"/>
      <c r="R171" s="496"/>
      <c r="S171" s="557">
        <f t="shared" si="8"/>
        <v>0</v>
      </c>
    </row>
    <row r="172" spans="2:19" hidden="1">
      <c r="B172" s="511">
        <v>160</v>
      </c>
      <c r="C172" s="540"/>
      <c r="D172" s="541"/>
      <c r="E172" s="542"/>
      <c r="F172" s="543"/>
      <c r="G172" s="36"/>
      <c r="H172" s="554">
        <f>IF(Consolidado_Geral!$G$133=7.6%,-(0.0165+0.076)*F172,0)</f>
        <v>0</v>
      </c>
      <c r="I172" s="36"/>
      <c r="J172" s="548"/>
      <c r="K172" s="549"/>
      <c r="L172" s="496"/>
      <c r="M172" s="557">
        <f t="shared" si="7"/>
        <v>0</v>
      </c>
      <c r="N172" s="556"/>
      <c r="O172" s="557">
        <f t="shared" si="6"/>
        <v>0</v>
      </c>
      <c r="P172" s="496"/>
      <c r="Q172" s="552"/>
      <c r="R172" s="496"/>
      <c r="S172" s="557">
        <f t="shared" si="8"/>
        <v>0</v>
      </c>
    </row>
    <row r="173" spans="2:19" hidden="1">
      <c r="B173" s="511">
        <v>161</v>
      </c>
      <c r="C173" s="540"/>
      <c r="D173" s="541"/>
      <c r="E173" s="542"/>
      <c r="F173" s="543"/>
      <c r="G173" s="36"/>
      <c r="H173" s="554">
        <f>IF(Consolidado_Geral!$G$133=7.6%,-(0.0165+0.076)*F173,0)</f>
        <v>0</v>
      </c>
      <c r="I173" s="36"/>
      <c r="J173" s="548"/>
      <c r="K173" s="549"/>
      <c r="L173" s="496"/>
      <c r="M173" s="557">
        <f t="shared" si="7"/>
        <v>0</v>
      </c>
      <c r="N173" s="556"/>
      <c r="O173" s="557">
        <f t="shared" si="6"/>
        <v>0</v>
      </c>
      <c r="Q173" s="552"/>
      <c r="S173" s="557">
        <f t="shared" si="8"/>
        <v>0</v>
      </c>
    </row>
    <row r="174" spans="2:19" hidden="1">
      <c r="B174" s="511">
        <v>162</v>
      </c>
      <c r="C174" s="540"/>
      <c r="D174" s="541"/>
      <c r="E174" s="542"/>
      <c r="F174" s="543"/>
      <c r="G174" s="36"/>
      <c r="H174" s="554">
        <f>IF(Consolidado_Geral!$G$133=7.6%,-(0.0165+0.076)*F174,0)</f>
        <v>0</v>
      </c>
      <c r="I174" s="36"/>
      <c r="J174" s="548"/>
      <c r="K174" s="549"/>
      <c r="L174" s="496"/>
      <c r="M174" s="557">
        <f t="shared" si="7"/>
        <v>0</v>
      </c>
      <c r="N174" s="556"/>
      <c r="O174" s="557">
        <f t="shared" si="6"/>
        <v>0</v>
      </c>
      <c r="Q174" s="552"/>
      <c r="S174" s="557">
        <f t="shared" si="8"/>
        <v>0</v>
      </c>
    </row>
    <row r="175" spans="2:19" hidden="1">
      <c r="B175" s="511">
        <v>163</v>
      </c>
      <c r="C175" s="540"/>
      <c r="D175" s="541"/>
      <c r="E175" s="542"/>
      <c r="F175" s="543"/>
      <c r="G175" s="36"/>
      <c r="H175" s="554">
        <f>IF(Consolidado_Geral!$G$133=7.6%,-(0.0165+0.076)*F175,0)</f>
        <v>0</v>
      </c>
      <c r="I175" s="36"/>
      <c r="J175" s="548"/>
      <c r="K175" s="549"/>
      <c r="L175" s="496"/>
      <c r="M175" s="557">
        <f t="shared" si="7"/>
        <v>0</v>
      </c>
      <c r="N175" s="556"/>
      <c r="O175" s="557">
        <f t="shared" si="6"/>
        <v>0</v>
      </c>
      <c r="Q175" s="552"/>
      <c r="S175" s="557">
        <f t="shared" si="8"/>
        <v>0</v>
      </c>
    </row>
    <row r="176" spans="2:19" hidden="1">
      <c r="B176" s="511">
        <v>164</v>
      </c>
      <c r="C176" s="540"/>
      <c r="D176" s="541"/>
      <c r="E176" s="542"/>
      <c r="F176" s="543"/>
      <c r="G176" s="36"/>
      <c r="H176" s="554">
        <f>IF(Consolidado_Geral!$G$133=7.6%,-(0.0165+0.076)*F176,0)</f>
        <v>0</v>
      </c>
      <c r="I176" s="36"/>
      <c r="J176" s="548"/>
      <c r="K176" s="549"/>
      <c r="L176" s="496"/>
      <c r="M176" s="557">
        <f t="shared" si="7"/>
        <v>0</v>
      </c>
      <c r="N176" s="556"/>
      <c r="O176" s="557">
        <f t="shared" si="6"/>
        <v>0</v>
      </c>
      <c r="Q176" s="552"/>
      <c r="S176" s="557">
        <f t="shared" si="8"/>
        <v>0</v>
      </c>
    </row>
    <row r="177" spans="2:19" hidden="1">
      <c r="B177" s="511">
        <v>165</v>
      </c>
      <c r="C177" s="540"/>
      <c r="D177" s="541"/>
      <c r="E177" s="542"/>
      <c r="F177" s="543"/>
      <c r="G177" s="36"/>
      <c r="H177" s="554">
        <f>IF(Consolidado_Geral!$G$133=7.6%,-(0.0165+0.076)*F177,0)</f>
        <v>0</v>
      </c>
      <c r="I177" s="36"/>
      <c r="J177" s="548"/>
      <c r="K177" s="549"/>
      <c r="L177" s="496"/>
      <c r="M177" s="557">
        <f t="shared" si="7"/>
        <v>0</v>
      </c>
      <c r="N177" s="556"/>
      <c r="O177" s="557">
        <f t="shared" si="6"/>
        <v>0</v>
      </c>
      <c r="Q177" s="552"/>
      <c r="S177" s="557">
        <f t="shared" si="8"/>
        <v>0</v>
      </c>
    </row>
    <row r="178" spans="2:19" hidden="1">
      <c r="B178" s="511">
        <v>166</v>
      </c>
      <c r="C178" s="540"/>
      <c r="D178" s="541"/>
      <c r="E178" s="542"/>
      <c r="F178" s="543"/>
      <c r="G178" s="36"/>
      <c r="H178" s="554">
        <f>IF(Consolidado_Geral!$G$133=7.6%,-(0.0165+0.076)*F178,0)</f>
        <v>0</v>
      </c>
      <c r="I178" s="36"/>
      <c r="J178" s="548"/>
      <c r="K178" s="549"/>
      <c r="L178" s="496"/>
      <c r="M178" s="557">
        <f t="shared" si="7"/>
        <v>0</v>
      </c>
      <c r="N178" s="556"/>
      <c r="O178" s="557">
        <f t="shared" si="6"/>
        <v>0</v>
      </c>
      <c r="Q178" s="552"/>
      <c r="S178" s="557">
        <f t="shared" si="8"/>
        <v>0</v>
      </c>
    </row>
    <row r="179" spans="2:19" hidden="1">
      <c r="B179" s="511">
        <v>167</v>
      </c>
      <c r="C179" s="540"/>
      <c r="D179" s="541"/>
      <c r="E179" s="542"/>
      <c r="F179" s="543"/>
      <c r="G179" s="36"/>
      <c r="H179" s="554">
        <f>IF(Consolidado_Geral!$G$133=7.6%,-(0.0165+0.076)*F179,0)</f>
        <v>0</v>
      </c>
      <c r="I179" s="36"/>
      <c r="J179" s="548"/>
      <c r="K179" s="549"/>
      <c r="L179" s="496"/>
      <c r="M179" s="557">
        <f t="shared" si="7"/>
        <v>0</v>
      </c>
      <c r="N179" s="556"/>
      <c r="O179" s="557">
        <f t="shared" si="6"/>
        <v>0</v>
      </c>
      <c r="Q179" s="552"/>
      <c r="S179" s="557">
        <f t="shared" si="8"/>
        <v>0</v>
      </c>
    </row>
    <row r="180" spans="2:19" hidden="1">
      <c r="B180" s="511">
        <v>168</v>
      </c>
      <c r="C180" s="540"/>
      <c r="D180" s="541"/>
      <c r="E180" s="542"/>
      <c r="F180" s="543"/>
      <c r="G180" s="36"/>
      <c r="H180" s="554">
        <f>IF(Consolidado_Geral!$G$133=7.6%,-(0.0165+0.076)*F180,0)</f>
        <v>0</v>
      </c>
      <c r="I180" s="36"/>
      <c r="J180" s="548"/>
      <c r="K180" s="549"/>
      <c r="L180" s="496"/>
      <c r="M180" s="557">
        <f t="shared" si="7"/>
        <v>0</v>
      </c>
      <c r="N180" s="556"/>
      <c r="O180" s="557">
        <f t="shared" si="6"/>
        <v>0</v>
      </c>
      <c r="Q180" s="552"/>
      <c r="S180" s="557">
        <f t="shared" si="8"/>
        <v>0</v>
      </c>
    </row>
    <row r="181" spans="2:19" hidden="1">
      <c r="B181" s="511">
        <v>169</v>
      </c>
      <c r="C181" s="540"/>
      <c r="D181" s="541"/>
      <c r="E181" s="542"/>
      <c r="F181" s="543"/>
      <c r="G181" s="36"/>
      <c r="H181" s="554">
        <f>IF(Consolidado_Geral!$G$133=7.6%,-(0.0165+0.076)*F181,0)</f>
        <v>0</v>
      </c>
      <c r="I181" s="36"/>
      <c r="J181" s="548"/>
      <c r="K181" s="549"/>
      <c r="L181" s="496"/>
      <c r="M181" s="557">
        <f t="shared" si="7"/>
        <v>0</v>
      </c>
      <c r="N181" s="556"/>
      <c r="O181" s="557">
        <f t="shared" si="6"/>
        <v>0</v>
      </c>
      <c r="Q181" s="552"/>
      <c r="S181" s="557">
        <f t="shared" si="8"/>
        <v>0</v>
      </c>
    </row>
    <row r="182" spans="2:19" hidden="1">
      <c r="B182" s="511">
        <v>170</v>
      </c>
      <c r="C182" s="540"/>
      <c r="D182" s="541"/>
      <c r="E182" s="542"/>
      <c r="F182" s="543"/>
      <c r="G182" s="36"/>
      <c r="H182" s="554">
        <f>IF(Consolidado_Geral!$G$133=7.6%,-(0.0165+0.076)*F182,0)</f>
        <v>0</v>
      </c>
      <c r="I182" s="36"/>
      <c r="J182" s="548"/>
      <c r="K182" s="549"/>
      <c r="L182" s="496"/>
      <c r="M182" s="557">
        <f t="shared" si="7"/>
        <v>0</v>
      </c>
      <c r="N182" s="556"/>
      <c r="O182" s="557">
        <f t="shared" si="6"/>
        <v>0</v>
      </c>
      <c r="Q182" s="552"/>
      <c r="S182" s="557">
        <f t="shared" si="8"/>
        <v>0</v>
      </c>
    </row>
    <row r="183" spans="2:19" hidden="1">
      <c r="B183" s="511">
        <v>171</v>
      </c>
      <c r="C183" s="540"/>
      <c r="D183" s="541"/>
      <c r="E183" s="542"/>
      <c r="F183" s="543"/>
      <c r="G183" s="36"/>
      <c r="H183" s="554">
        <f>IF(Consolidado_Geral!$G$133=7.6%,-(0.0165+0.076)*F183,0)</f>
        <v>0</v>
      </c>
      <c r="I183" s="36"/>
      <c r="J183" s="548"/>
      <c r="K183" s="549"/>
      <c r="L183" s="496"/>
      <c r="M183" s="557">
        <f t="shared" si="7"/>
        <v>0</v>
      </c>
      <c r="N183" s="556"/>
      <c r="O183" s="557">
        <f t="shared" si="6"/>
        <v>0</v>
      </c>
      <c r="Q183" s="552"/>
      <c r="S183" s="557">
        <f t="shared" si="8"/>
        <v>0</v>
      </c>
    </row>
    <row r="184" spans="2:19" hidden="1">
      <c r="B184" s="511">
        <v>172</v>
      </c>
      <c r="C184" s="540"/>
      <c r="D184" s="541"/>
      <c r="E184" s="542"/>
      <c r="F184" s="543"/>
      <c r="G184" s="36"/>
      <c r="H184" s="554">
        <f>IF(Consolidado_Geral!$G$133=7.6%,-(0.0165+0.076)*F184,0)</f>
        <v>0</v>
      </c>
      <c r="I184" s="36"/>
      <c r="J184" s="548"/>
      <c r="K184" s="549"/>
      <c r="L184" s="496"/>
      <c r="M184" s="557">
        <f t="shared" si="7"/>
        <v>0</v>
      </c>
      <c r="N184" s="556"/>
      <c r="O184" s="557">
        <f t="shared" si="6"/>
        <v>0</v>
      </c>
      <c r="Q184" s="552"/>
      <c r="S184" s="557">
        <f t="shared" si="8"/>
        <v>0</v>
      </c>
    </row>
    <row r="185" spans="2:19" hidden="1">
      <c r="B185" s="511">
        <v>173</v>
      </c>
      <c r="C185" s="540"/>
      <c r="D185" s="541"/>
      <c r="E185" s="542"/>
      <c r="F185" s="543"/>
      <c r="G185" s="36"/>
      <c r="H185" s="554">
        <f>IF(Consolidado_Geral!$G$133=7.6%,-(0.0165+0.076)*F185,0)</f>
        <v>0</v>
      </c>
      <c r="I185" s="36"/>
      <c r="J185" s="548"/>
      <c r="K185" s="549"/>
      <c r="L185" s="496"/>
      <c r="M185" s="557">
        <f t="shared" si="7"/>
        <v>0</v>
      </c>
      <c r="N185" s="556"/>
      <c r="O185" s="557">
        <f t="shared" si="6"/>
        <v>0</v>
      </c>
      <c r="Q185" s="552"/>
      <c r="S185" s="557">
        <f t="shared" si="8"/>
        <v>0</v>
      </c>
    </row>
    <row r="186" spans="2:19" hidden="1">
      <c r="B186" s="511">
        <v>174</v>
      </c>
      <c r="C186" s="540"/>
      <c r="D186" s="541"/>
      <c r="E186" s="542"/>
      <c r="F186" s="543"/>
      <c r="G186" s="36"/>
      <c r="H186" s="554">
        <f>IF(Consolidado_Geral!$G$133=7.6%,-(0.0165+0.076)*F186,0)</f>
        <v>0</v>
      </c>
      <c r="I186" s="36"/>
      <c r="J186" s="548"/>
      <c r="K186" s="549"/>
      <c r="L186" s="496"/>
      <c r="M186" s="557">
        <f t="shared" si="7"/>
        <v>0</v>
      </c>
      <c r="N186" s="556"/>
      <c r="O186" s="557">
        <f t="shared" si="6"/>
        <v>0</v>
      </c>
      <c r="P186" s="496"/>
      <c r="Q186" s="552"/>
      <c r="R186" s="496"/>
      <c r="S186" s="557">
        <f t="shared" si="8"/>
        <v>0</v>
      </c>
    </row>
    <row r="187" spans="2:19" hidden="1">
      <c r="B187" s="511">
        <v>175</v>
      </c>
      <c r="C187" s="540"/>
      <c r="D187" s="541"/>
      <c r="E187" s="542"/>
      <c r="F187" s="543"/>
      <c r="G187" s="36"/>
      <c r="H187" s="554">
        <f>IF(Consolidado_Geral!$G$133=7.6%,-(0.0165+0.076)*F187,0)</f>
        <v>0</v>
      </c>
      <c r="I187" s="36"/>
      <c r="J187" s="548"/>
      <c r="K187" s="549"/>
      <c r="L187" s="496"/>
      <c r="M187" s="557">
        <f t="shared" si="7"/>
        <v>0</v>
      </c>
      <c r="N187" s="556"/>
      <c r="O187" s="557">
        <f t="shared" si="6"/>
        <v>0</v>
      </c>
      <c r="P187" s="496"/>
      <c r="Q187" s="552"/>
      <c r="R187" s="496"/>
      <c r="S187" s="557">
        <f t="shared" si="8"/>
        <v>0</v>
      </c>
    </row>
    <row r="188" spans="2:19" hidden="1">
      <c r="B188" s="511">
        <v>176</v>
      </c>
      <c r="C188" s="540"/>
      <c r="D188" s="541"/>
      <c r="E188" s="542"/>
      <c r="F188" s="543"/>
      <c r="G188" s="36"/>
      <c r="H188" s="554">
        <f>IF(Consolidado_Geral!$G$133=7.6%,-(0.0165+0.076)*F188,0)</f>
        <v>0</v>
      </c>
      <c r="I188" s="36"/>
      <c r="J188" s="548"/>
      <c r="K188" s="549"/>
      <c r="L188" s="496"/>
      <c r="M188" s="557">
        <f t="shared" si="7"/>
        <v>0</v>
      </c>
      <c r="N188" s="556"/>
      <c r="O188" s="557">
        <f t="shared" si="6"/>
        <v>0</v>
      </c>
      <c r="P188" s="496"/>
      <c r="Q188" s="552"/>
      <c r="R188" s="496"/>
      <c r="S188" s="557">
        <f t="shared" si="8"/>
        <v>0</v>
      </c>
    </row>
    <row r="189" spans="2:19" hidden="1">
      <c r="B189" s="511">
        <v>177</v>
      </c>
      <c r="C189" s="540"/>
      <c r="D189" s="541"/>
      <c r="E189" s="542"/>
      <c r="F189" s="543"/>
      <c r="G189" s="36"/>
      <c r="H189" s="554">
        <f>IF(Consolidado_Geral!$G$133=7.6%,-(0.0165+0.076)*F189,0)</f>
        <v>0</v>
      </c>
      <c r="I189" s="36"/>
      <c r="J189" s="548"/>
      <c r="K189" s="549"/>
      <c r="L189" s="496"/>
      <c r="M189" s="557">
        <f t="shared" si="7"/>
        <v>0</v>
      </c>
      <c r="N189" s="556"/>
      <c r="O189" s="557">
        <f t="shared" si="6"/>
        <v>0</v>
      </c>
      <c r="P189" s="496"/>
      <c r="Q189" s="552"/>
      <c r="R189" s="496"/>
      <c r="S189" s="557">
        <f t="shared" si="8"/>
        <v>0</v>
      </c>
    </row>
    <row r="190" spans="2:19" hidden="1">
      <c r="B190" s="511">
        <v>178</v>
      </c>
      <c r="C190" s="540"/>
      <c r="D190" s="541"/>
      <c r="E190" s="542"/>
      <c r="F190" s="543"/>
      <c r="G190" s="36"/>
      <c r="H190" s="554">
        <f>IF(Consolidado_Geral!$G$133=7.6%,-(0.0165+0.076)*F190,0)</f>
        <v>0</v>
      </c>
      <c r="I190" s="36"/>
      <c r="J190" s="548"/>
      <c r="K190" s="549"/>
      <c r="L190" s="496"/>
      <c r="M190" s="557">
        <f t="shared" si="7"/>
        <v>0</v>
      </c>
      <c r="N190" s="556"/>
      <c r="O190" s="557">
        <f t="shared" si="6"/>
        <v>0</v>
      </c>
      <c r="P190" s="496"/>
      <c r="Q190" s="552"/>
      <c r="R190" s="496"/>
      <c r="S190" s="557">
        <f t="shared" si="8"/>
        <v>0</v>
      </c>
    </row>
    <row r="191" spans="2:19" hidden="1">
      <c r="B191" s="511">
        <v>179</v>
      </c>
      <c r="C191" s="540"/>
      <c r="D191" s="541"/>
      <c r="E191" s="542"/>
      <c r="F191" s="543"/>
      <c r="G191" s="36"/>
      <c r="H191" s="554">
        <f>IF(Consolidado_Geral!$G$133=7.6%,-(0.0165+0.076)*F191,0)</f>
        <v>0</v>
      </c>
      <c r="I191" s="36"/>
      <c r="J191" s="548"/>
      <c r="K191" s="549"/>
      <c r="L191" s="496"/>
      <c r="M191" s="557">
        <f t="shared" si="7"/>
        <v>0</v>
      </c>
      <c r="N191" s="556"/>
      <c r="O191" s="557">
        <f t="shared" si="6"/>
        <v>0</v>
      </c>
      <c r="P191" s="496"/>
      <c r="Q191" s="552"/>
      <c r="R191" s="496"/>
      <c r="S191" s="557">
        <f t="shared" si="8"/>
        <v>0</v>
      </c>
    </row>
    <row r="192" spans="2:19" hidden="1">
      <c r="B192" s="511">
        <v>180</v>
      </c>
      <c r="C192" s="540"/>
      <c r="D192" s="541"/>
      <c r="E192" s="542"/>
      <c r="F192" s="543"/>
      <c r="G192" s="36"/>
      <c r="H192" s="554">
        <f>IF(Consolidado_Geral!$G$133=7.6%,-(0.0165+0.076)*F192,0)</f>
        <v>0</v>
      </c>
      <c r="I192" s="36"/>
      <c r="J192" s="548"/>
      <c r="K192" s="549"/>
      <c r="L192" s="496"/>
      <c r="M192" s="557">
        <f t="shared" si="7"/>
        <v>0</v>
      </c>
      <c r="N192" s="556"/>
      <c r="O192" s="557">
        <f t="shared" si="6"/>
        <v>0</v>
      </c>
      <c r="P192" s="496"/>
      <c r="Q192" s="552"/>
      <c r="R192" s="496"/>
      <c r="S192" s="557">
        <f t="shared" si="8"/>
        <v>0</v>
      </c>
    </row>
    <row r="193" spans="2:19" hidden="1">
      <c r="B193" s="511">
        <v>181</v>
      </c>
      <c r="C193" s="540"/>
      <c r="D193" s="541"/>
      <c r="E193" s="542"/>
      <c r="F193" s="543"/>
      <c r="G193" s="36"/>
      <c r="H193" s="554">
        <f>IF(Consolidado_Geral!$G$133=7.6%,-(0.0165+0.076)*F193,0)</f>
        <v>0</v>
      </c>
      <c r="I193" s="36"/>
      <c r="J193" s="548"/>
      <c r="K193" s="549"/>
      <c r="L193" s="496"/>
      <c r="M193" s="557">
        <f t="shared" si="7"/>
        <v>0</v>
      </c>
      <c r="N193" s="556"/>
      <c r="O193" s="557">
        <f t="shared" si="6"/>
        <v>0</v>
      </c>
      <c r="P193" s="496"/>
      <c r="Q193" s="552"/>
      <c r="R193" s="496"/>
      <c r="S193" s="557">
        <f t="shared" si="8"/>
        <v>0</v>
      </c>
    </row>
    <row r="194" spans="2:19" hidden="1">
      <c r="B194" s="511">
        <v>182</v>
      </c>
      <c r="C194" s="540"/>
      <c r="D194" s="541"/>
      <c r="E194" s="542"/>
      <c r="F194" s="543"/>
      <c r="G194" s="36"/>
      <c r="H194" s="554">
        <f>IF(Consolidado_Geral!$G$133=7.6%,-(0.0165+0.076)*F194,0)</f>
        <v>0</v>
      </c>
      <c r="I194" s="36"/>
      <c r="J194" s="548"/>
      <c r="K194" s="549"/>
      <c r="L194" s="496"/>
      <c r="M194" s="557">
        <f t="shared" si="7"/>
        <v>0</v>
      </c>
      <c r="N194" s="556"/>
      <c r="O194" s="557">
        <f t="shared" si="6"/>
        <v>0</v>
      </c>
      <c r="P194" s="496"/>
      <c r="Q194" s="552"/>
      <c r="R194" s="496"/>
      <c r="S194" s="557">
        <f t="shared" si="8"/>
        <v>0</v>
      </c>
    </row>
    <row r="195" spans="2:19" hidden="1">
      <c r="B195" s="511">
        <v>183</v>
      </c>
      <c r="C195" s="540"/>
      <c r="D195" s="541"/>
      <c r="E195" s="542"/>
      <c r="F195" s="543"/>
      <c r="G195" s="36"/>
      <c r="H195" s="554">
        <f>IF(Consolidado_Geral!$G$133=7.6%,-(0.0165+0.076)*F195,0)</f>
        <v>0</v>
      </c>
      <c r="I195" s="36"/>
      <c r="J195" s="548"/>
      <c r="K195" s="549"/>
      <c r="L195" s="496"/>
      <c r="M195" s="557">
        <f t="shared" si="7"/>
        <v>0</v>
      </c>
      <c r="N195" s="556"/>
      <c r="O195" s="557">
        <f t="shared" si="6"/>
        <v>0</v>
      </c>
      <c r="P195" s="496"/>
      <c r="Q195" s="552"/>
      <c r="R195" s="496"/>
      <c r="S195" s="557">
        <f t="shared" si="8"/>
        <v>0</v>
      </c>
    </row>
    <row r="196" spans="2:19" hidden="1">
      <c r="B196" s="511">
        <v>184</v>
      </c>
      <c r="C196" s="540"/>
      <c r="D196" s="541"/>
      <c r="E196" s="542"/>
      <c r="F196" s="543"/>
      <c r="G196" s="36"/>
      <c r="H196" s="554">
        <f>IF(Consolidado_Geral!$G$133=7.6%,-(0.0165+0.076)*F196,0)</f>
        <v>0</v>
      </c>
      <c r="I196" s="36"/>
      <c r="J196" s="548"/>
      <c r="K196" s="549"/>
      <c r="L196" s="496"/>
      <c r="M196" s="557">
        <f t="shared" si="7"/>
        <v>0</v>
      </c>
      <c r="N196" s="556"/>
      <c r="O196" s="557">
        <f t="shared" si="6"/>
        <v>0</v>
      </c>
      <c r="P196" s="496"/>
      <c r="Q196" s="552"/>
      <c r="R196" s="496"/>
      <c r="S196" s="557">
        <f t="shared" si="8"/>
        <v>0</v>
      </c>
    </row>
    <row r="197" spans="2:19" hidden="1">
      <c r="B197" s="511">
        <v>185</v>
      </c>
      <c r="C197" s="540"/>
      <c r="D197" s="541"/>
      <c r="E197" s="542"/>
      <c r="F197" s="543"/>
      <c r="G197" s="36"/>
      <c r="H197" s="554">
        <f>IF(Consolidado_Geral!$G$133=7.6%,-(0.0165+0.076)*F197,0)</f>
        <v>0</v>
      </c>
      <c r="I197" s="36"/>
      <c r="J197" s="548"/>
      <c r="K197" s="549"/>
      <c r="L197" s="496"/>
      <c r="M197" s="557">
        <f t="shared" si="7"/>
        <v>0</v>
      </c>
      <c r="N197" s="556"/>
      <c r="O197" s="557">
        <f t="shared" si="6"/>
        <v>0</v>
      </c>
      <c r="Q197" s="552"/>
      <c r="S197" s="557">
        <f t="shared" si="8"/>
        <v>0</v>
      </c>
    </row>
    <row r="198" spans="2:19" hidden="1">
      <c r="B198" s="511">
        <v>186</v>
      </c>
      <c r="C198" s="540"/>
      <c r="D198" s="541"/>
      <c r="E198" s="542"/>
      <c r="F198" s="543"/>
      <c r="G198" s="36"/>
      <c r="H198" s="554">
        <f>IF(Consolidado_Geral!$G$133=7.6%,-(0.0165+0.076)*F198,0)</f>
        <v>0</v>
      </c>
      <c r="I198" s="36"/>
      <c r="J198" s="548"/>
      <c r="K198" s="549"/>
      <c r="L198" s="496"/>
      <c r="M198" s="557">
        <f t="shared" si="7"/>
        <v>0</v>
      </c>
      <c r="N198" s="556"/>
      <c r="O198" s="557">
        <f t="shared" si="6"/>
        <v>0</v>
      </c>
      <c r="Q198" s="552"/>
      <c r="S198" s="557">
        <f t="shared" si="8"/>
        <v>0</v>
      </c>
    </row>
    <row r="199" spans="2:19" hidden="1">
      <c r="B199" s="511">
        <v>187</v>
      </c>
      <c r="C199" s="540"/>
      <c r="D199" s="541"/>
      <c r="E199" s="542"/>
      <c r="F199" s="543"/>
      <c r="G199" s="36"/>
      <c r="H199" s="554">
        <f>IF(Consolidado_Geral!$G$133=7.6%,-(0.0165+0.076)*F199,0)</f>
        <v>0</v>
      </c>
      <c r="I199" s="36"/>
      <c r="J199" s="548"/>
      <c r="K199" s="549"/>
      <c r="L199" s="496"/>
      <c r="M199" s="557">
        <f t="shared" si="7"/>
        <v>0</v>
      </c>
      <c r="N199" s="556"/>
      <c r="O199" s="557">
        <f t="shared" si="6"/>
        <v>0</v>
      </c>
      <c r="Q199" s="552"/>
      <c r="S199" s="557">
        <f t="shared" si="8"/>
        <v>0</v>
      </c>
    </row>
    <row r="200" spans="2:19" hidden="1">
      <c r="B200" s="511">
        <v>188</v>
      </c>
      <c r="C200" s="540"/>
      <c r="D200" s="541"/>
      <c r="E200" s="542"/>
      <c r="F200" s="543"/>
      <c r="G200" s="36"/>
      <c r="H200" s="554">
        <f>IF(Consolidado_Geral!$G$133=7.6%,-(0.0165+0.076)*F200,0)</f>
        <v>0</v>
      </c>
      <c r="I200" s="36"/>
      <c r="J200" s="548"/>
      <c r="K200" s="549"/>
      <c r="L200" s="496"/>
      <c r="M200" s="557">
        <f t="shared" si="7"/>
        <v>0</v>
      </c>
      <c r="N200" s="556"/>
      <c r="O200" s="557">
        <f t="shared" si="6"/>
        <v>0</v>
      </c>
      <c r="Q200" s="552"/>
      <c r="S200" s="557">
        <f t="shared" si="8"/>
        <v>0</v>
      </c>
    </row>
    <row r="201" spans="2:19" hidden="1">
      <c r="B201" s="511">
        <v>189</v>
      </c>
      <c r="C201" s="540"/>
      <c r="D201" s="541"/>
      <c r="E201" s="542"/>
      <c r="F201" s="543"/>
      <c r="G201" s="36"/>
      <c r="H201" s="554">
        <f>IF(Consolidado_Geral!$G$133=7.6%,-(0.0165+0.076)*F201,0)</f>
        <v>0</v>
      </c>
      <c r="I201" s="36"/>
      <c r="J201" s="548"/>
      <c r="K201" s="549"/>
      <c r="L201" s="496"/>
      <c r="M201" s="557">
        <f t="shared" si="7"/>
        <v>0</v>
      </c>
      <c r="N201" s="556"/>
      <c r="O201" s="557">
        <f t="shared" si="6"/>
        <v>0</v>
      </c>
      <c r="Q201" s="552"/>
      <c r="S201" s="557">
        <f t="shared" si="8"/>
        <v>0</v>
      </c>
    </row>
    <row r="202" spans="2:19" hidden="1">
      <c r="B202" s="511">
        <v>190</v>
      </c>
      <c r="C202" s="540"/>
      <c r="D202" s="541"/>
      <c r="E202" s="542"/>
      <c r="F202" s="543"/>
      <c r="G202" s="36"/>
      <c r="H202" s="554">
        <f>IF(Consolidado_Geral!$G$133=7.6%,-(0.0165+0.076)*F202,0)</f>
        <v>0</v>
      </c>
      <c r="I202" s="36"/>
      <c r="J202" s="548"/>
      <c r="K202" s="549"/>
      <c r="L202" s="496"/>
      <c r="M202" s="557">
        <f t="shared" si="7"/>
        <v>0</v>
      </c>
      <c r="N202" s="556"/>
      <c r="O202" s="557">
        <f t="shared" si="6"/>
        <v>0</v>
      </c>
      <c r="Q202" s="552"/>
      <c r="S202" s="557">
        <f t="shared" si="8"/>
        <v>0</v>
      </c>
    </row>
    <row r="203" spans="2:19" hidden="1">
      <c r="B203" s="511">
        <v>191</v>
      </c>
      <c r="C203" s="540"/>
      <c r="D203" s="541"/>
      <c r="E203" s="542"/>
      <c r="F203" s="543"/>
      <c r="G203" s="36"/>
      <c r="H203" s="554">
        <f>IF(Consolidado_Geral!$G$133=7.6%,-(0.0165+0.076)*F203,0)</f>
        <v>0</v>
      </c>
      <c r="I203" s="36"/>
      <c r="J203" s="548"/>
      <c r="K203" s="549"/>
      <c r="L203" s="496"/>
      <c r="M203" s="557">
        <f t="shared" si="7"/>
        <v>0</v>
      </c>
      <c r="N203" s="556"/>
      <c r="O203" s="557">
        <f t="shared" si="6"/>
        <v>0</v>
      </c>
      <c r="Q203" s="552"/>
      <c r="S203" s="557">
        <f t="shared" si="8"/>
        <v>0</v>
      </c>
    </row>
    <row r="204" spans="2:19" hidden="1">
      <c r="B204" s="511">
        <v>192</v>
      </c>
      <c r="C204" s="540"/>
      <c r="D204" s="541"/>
      <c r="E204" s="542"/>
      <c r="F204" s="543"/>
      <c r="G204" s="36"/>
      <c r="H204" s="554">
        <f>IF(Consolidado_Geral!$G$133=7.6%,-(0.0165+0.076)*F204,0)</f>
        <v>0</v>
      </c>
      <c r="I204" s="36"/>
      <c r="J204" s="548"/>
      <c r="K204" s="549"/>
      <c r="L204" s="496"/>
      <c r="M204" s="557">
        <f t="shared" si="7"/>
        <v>0</v>
      </c>
      <c r="N204" s="556"/>
      <c r="O204" s="557">
        <f t="shared" si="6"/>
        <v>0</v>
      </c>
      <c r="Q204" s="552"/>
      <c r="S204" s="557">
        <f t="shared" si="8"/>
        <v>0</v>
      </c>
    </row>
    <row r="205" spans="2:19" hidden="1">
      <c r="B205" s="511">
        <v>193</v>
      </c>
      <c r="C205" s="540"/>
      <c r="D205" s="541"/>
      <c r="E205" s="542"/>
      <c r="F205" s="543"/>
      <c r="G205" s="36"/>
      <c r="H205" s="554">
        <f>IF(Consolidado_Geral!$G$133=7.6%,-(0.0165+0.076)*F205,0)</f>
        <v>0</v>
      </c>
      <c r="I205" s="36"/>
      <c r="J205" s="548"/>
      <c r="K205" s="549"/>
      <c r="L205" s="496"/>
      <c r="M205" s="557">
        <f t="shared" si="7"/>
        <v>0</v>
      </c>
      <c r="N205" s="556"/>
      <c r="O205" s="557">
        <f t="shared" ref="O205:O268" si="9">IF(E205=0,0,(M205/K205)*E205)</f>
        <v>0</v>
      </c>
      <c r="Q205" s="552"/>
      <c r="S205" s="557">
        <f t="shared" si="8"/>
        <v>0</v>
      </c>
    </row>
    <row r="206" spans="2:19" hidden="1">
      <c r="B206" s="511">
        <v>194</v>
      </c>
      <c r="C206" s="540"/>
      <c r="D206" s="541"/>
      <c r="E206" s="542"/>
      <c r="F206" s="543"/>
      <c r="G206" s="36"/>
      <c r="H206" s="554">
        <f>IF(Consolidado_Geral!$G$133=7.6%,-(0.0165+0.076)*F206,0)</f>
        <v>0</v>
      </c>
      <c r="I206" s="36"/>
      <c r="J206" s="548"/>
      <c r="K206" s="549"/>
      <c r="L206" s="496"/>
      <c r="M206" s="557">
        <f t="shared" ref="M206:M269" si="10">IF(E206&gt;0,(F206+H206)-J206,0)</f>
        <v>0</v>
      </c>
      <c r="N206" s="556"/>
      <c r="O206" s="557">
        <f t="shared" si="9"/>
        <v>0</v>
      </c>
      <c r="Q206" s="552"/>
      <c r="S206" s="557">
        <f t="shared" ref="S206:S269" si="11">E206*(M206*Q206)</f>
        <v>0</v>
      </c>
    </row>
    <row r="207" spans="2:19" hidden="1">
      <c r="B207" s="511">
        <v>195</v>
      </c>
      <c r="C207" s="540"/>
      <c r="D207" s="541"/>
      <c r="E207" s="542"/>
      <c r="F207" s="543"/>
      <c r="G207" s="36"/>
      <c r="H207" s="554">
        <f>IF(Consolidado_Geral!$G$133=7.6%,-(0.0165+0.076)*F207,0)</f>
        <v>0</v>
      </c>
      <c r="I207" s="36"/>
      <c r="J207" s="548"/>
      <c r="K207" s="549"/>
      <c r="L207" s="496"/>
      <c r="M207" s="557">
        <f t="shared" si="10"/>
        <v>0</v>
      </c>
      <c r="N207" s="556"/>
      <c r="O207" s="557">
        <f t="shared" si="9"/>
        <v>0</v>
      </c>
      <c r="Q207" s="552"/>
      <c r="S207" s="557">
        <f t="shared" si="11"/>
        <v>0</v>
      </c>
    </row>
    <row r="208" spans="2:19" hidden="1">
      <c r="B208" s="511">
        <v>196</v>
      </c>
      <c r="C208" s="540"/>
      <c r="D208" s="541"/>
      <c r="E208" s="542"/>
      <c r="F208" s="543"/>
      <c r="G208" s="36"/>
      <c r="H208" s="554">
        <f>IF(Consolidado_Geral!$G$133=7.6%,-(0.0165+0.076)*F208,0)</f>
        <v>0</v>
      </c>
      <c r="I208" s="36"/>
      <c r="J208" s="548"/>
      <c r="K208" s="549"/>
      <c r="L208" s="496"/>
      <c r="M208" s="557">
        <f t="shared" si="10"/>
        <v>0</v>
      </c>
      <c r="N208" s="556"/>
      <c r="O208" s="557">
        <f t="shared" si="9"/>
        <v>0</v>
      </c>
      <c r="Q208" s="552"/>
      <c r="S208" s="557">
        <f t="shared" si="11"/>
        <v>0</v>
      </c>
    </row>
    <row r="209" spans="2:19" hidden="1">
      <c r="B209" s="511">
        <v>197</v>
      </c>
      <c r="C209" s="540"/>
      <c r="D209" s="541"/>
      <c r="E209" s="542"/>
      <c r="F209" s="543"/>
      <c r="G209" s="36"/>
      <c r="H209" s="554">
        <f>IF(Consolidado_Geral!$G$133=7.6%,-(0.0165+0.076)*F209,0)</f>
        <v>0</v>
      </c>
      <c r="I209" s="36"/>
      <c r="J209" s="548"/>
      <c r="K209" s="549"/>
      <c r="L209" s="496"/>
      <c r="M209" s="557">
        <f t="shared" si="10"/>
        <v>0</v>
      </c>
      <c r="N209" s="556"/>
      <c r="O209" s="557">
        <f t="shared" si="9"/>
        <v>0</v>
      </c>
      <c r="Q209" s="552"/>
      <c r="S209" s="557">
        <f t="shared" si="11"/>
        <v>0</v>
      </c>
    </row>
    <row r="210" spans="2:19" hidden="1">
      <c r="B210" s="511">
        <v>198</v>
      </c>
      <c r="C210" s="540"/>
      <c r="D210" s="541"/>
      <c r="E210" s="542"/>
      <c r="F210" s="543"/>
      <c r="G210" s="36"/>
      <c r="H210" s="554">
        <f>IF(Consolidado_Geral!$G$133=7.6%,-(0.0165+0.076)*F210,0)</f>
        <v>0</v>
      </c>
      <c r="I210" s="36"/>
      <c r="J210" s="548"/>
      <c r="K210" s="549"/>
      <c r="L210" s="496"/>
      <c r="M210" s="557">
        <f t="shared" si="10"/>
        <v>0</v>
      </c>
      <c r="N210" s="556"/>
      <c r="O210" s="557">
        <f t="shared" si="9"/>
        <v>0</v>
      </c>
      <c r="P210" s="496"/>
      <c r="Q210" s="552"/>
      <c r="R210" s="496"/>
      <c r="S210" s="557">
        <f t="shared" si="11"/>
        <v>0</v>
      </c>
    </row>
    <row r="211" spans="2:19" hidden="1">
      <c r="B211" s="511">
        <v>199</v>
      </c>
      <c r="C211" s="540"/>
      <c r="D211" s="541"/>
      <c r="E211" s="542"/>
      <c r="F211" s="543"/>
      <c r="G211" s="36"/>
      <c r="H211" s="554">
        <f>IF(Consolidado_Geral!$G$133=7.6%,-(0.0165+0.076)*F211,0)</f>
        <v>0</v>
      </c>
      <c r="I211" s="36"/>
      <c r="J211" s="548"/>
      <c r="K211" s="549"/>
      <c r="L211" s="496"/>
      <c r="M211" s="557">
        <f t="shared" si="10"/>
        <v>0</v>
      </c>
      <c r="N211" s="556"/>
      <c r="O211" s="557">
        <f t="shared" si="9"/>
        <v>0</v>
      </c>
      <c r="P211" s="496"/>
      <c r="Q211" s="552"/>
      <c r="R211" s="496"/>
      <c r="S211" s="557">
        <f t="shared" si="11"/>
        <v>0</v>
      </c>
    </row>
    <row r="212" spans="2:19" hidden="1">
      <c r="B212" s="511">
        <v>200</v>
      </c>
      <c r="C212" s="540"/>
      <c r="D212" s="541"/>
      <c r="E212" s="542"/>
      <c r="F212" s="543"/>
      <c r="G212" s="36"/>
      <c r="H212" s="554">
        <f>IF(Consolidado_Geral!$G$133=7.6%,-(0.0165+0.076)*F212,0)</f>
        <v>0</v>
      </c>
      <c r="I212" s="36"/>
      <c r="J212" s="548"/>
      <c r="K212" s="549"/>
      <c r="L212" s="496"/>
      <c r="M212" s="557">
        <f t="shared" si="10"/>
        <v>0</v>
      </c>
      <c r="N212" s="556"/>
      <c r="O212" s="557">
        <f t="shared" si="9"/>
        <v>0</v>
      </c>
      <c r="P212" s="496"/>
      <c r="Q212" s="552"/>
      <c r="R212" s="496"/>
      <c r="S212" s="557">
        <f t="shared" si="11"/>
        <v>0</v>
      </c>
    </row>
    <row r="213" spans="2:19" hidden="1">
      <c r="B213" s="511">
        <v>201</v>
      </c>
      <c r="C213" s="540"/>
      <c r="D213" s="541"/>
      <c r="E213" s="542"/>
      <c r="F213" s="543"/>
      <c r="G213" s="36"/>
      <c r="H213" s="554">
        <f>IF(Consolidado_Geral!$G$133=7.6%,-(0.0165+0.076)*F213,0)</f>
        <v>0</v>
      </c>
      <c r="I213" s="36"/>
      <c r="J213" s="548"/>
      <c r="K213" s="549"/>
      <c r="L213" s="496"/>
      <c r="M213" s="557">
        <f t="shared" si="10"/>
        <v>0</v>
      </c>
      <c r="N213" s="556"/>
      <c r="O213" s="557">
        <f t="shared" si="9"/>
        <v>0</v>
      </c>
      <c r="P213" s="496"/>
      <c r="Q213" s="552"/>
      <c r="R213" s="496"/>
      <c r="S213" s="557">
        <f t="shared" si="11"/>
        <v>0</v>
      </c>
    </row>
    <row r="214" spans="2:19" hidden="1">
      <c r="B214" s="511">
        <v>202</v>
      </c>
      <c r="C214" s="540"/>
      <c r="D214" s="541"/>
      <c r="E214" s="542"/>
      <c r="F214" s="543"/>
      <c r="G214" s="36"/>
      <c r="H214" s="554">
        <f>IF(Consolidado_Geral!$G$133=7.6%,-(0.0165+0.076)*F214,0)</f>
        <v>0</v>
      </c>
      <c r="I214" s="36"/>
      <c r="J214" s="548"/>
      <c r="K214" s="549"/>
      <c r="L214" s="496"/>
      <c r="M214" s="557">
        <f t="shared" si="10"/>
        <v>0</v>
      </c>
      <c r="N214" s="556"/>
      <c r="O214" s="557">
        <f t="shared" si="9"/>
        <v>0</v>
      </c>
      <c r="P214" s="496"/>
      <c r="Q214" s="552"/>
      <c r="R214" s="496"/>
      <c r="S214" s="557">
        <f t="shared" si="11"/>
        <v>0</v>
      </c>
    </row>
    <row r="215" spans="2:19" hidden="1">
      <c r="B215" s="511">
        <v>203</v>
      </c>
      <c r="C215" s="540"/>
      <c r="D215" s="541"/>
      <c r="E215" s="542"/>
      <c r="F215" s="543"/>
      <c r="G215" s="36"/>
      <c r="H215" s="554">
        <f>IF(Consolidado_Geral!$G$133=7.6%,-(0.0165+0.076)*F215,0)</f>
        <v>0</v>
      </c>
      <c r="I215" s="36"/>
      <c r="J215" s="548"/>
      <c r="K215" s="549"/>
      <c r="L215" s="496"/>
      <c r="M215" s="557">
        <f t="shared" si="10"/>
        <v>0</v>
      </c>
      <c r="N215" s="556"/>
      <c r="O215" s="557">
        <f t="shared" si="9"/>
        <v>0</v>
      </c>
      <c r="P215" s="496"/>
      <c r="Q215" s="552"/>
      <c r="R215" s="496"/>
      <c r="S215" s="557">
        <f t="shared" si="11"/>
        <v>0</v>
      </c>
    </row>
    <row r="216" spans="2:19" hidden="1">
      <c r="B216" s="511">
        <v>204</v>
      </c>
      <c r="C216" s="540"/>
      <c r="D216" s="541"/>
      <c r="E216" s="542"/>
      <c r="F216" s="543"/>
      <c r="G216" s="36"/>
      <c r="H216" s="554">
        <f>IF(Consolidado_Geral!$G$133=7.6%,-(0.0165+0.076)*F216,0)</f>
        <v>0</v>
      </c>
      <c r="I216" s="36"/>
      <c r="J216" s="548"/>
      <c r="K216" s="549"/>
      <c r="L216" s="496"/>
      <c r="M216" s="557">
        <f t="shared" si="10"/>
        <v>0</v>
      </c>
      <c r="N216" s="556"/>
      <c r="O216" s="557">
        <f t="shared" si="9"/>
        <v>0</v>
      </c>
      <c r="P216" s="496"/>
      <c r="Q216" s="552"/>
      <c r="R216" s="496"/>
      <c r="S216" s="557">
        <f t="shared" si="11"/>
        <v>0</v>
      </c>
    </row>
    <row r="217" spans="2:19" hidden="1">
      <c r="B217" s="511">
        <v>205</v>
      </c>
      <c r="C217" s="540"/>
      <c r="D217" s="541"/>
      <c r="E217" s="542"/>
      <c r="F217" s="543"/>
      <c r="G217" s="36"/>
      <c r="H217" s="554">
        <f>IF(Consolidado_Geral!$G$133=7.6%,-(0.0165+0.076)*F217,0)</f>
        <v>0</v>
      </c>
      <c r="I217" s="36"/>
      <c r="J217" s="548"/>
      <c r="K217" s="549"/>
      <c r="L217" s="496"/>
      <c r="M217" s="557">
        <f t="shared" si="10"/>
        <v>0</v>
      </c>
      <c r="N217" s="556"/>
      <c r="O217" s="557">
        <f t="shared" si="9"/>
        <v>0</v>
      </c>
      <c r="P217" s="496"/>
      <c r="Q217" s="552"/>
      <c r="R217" s="496"/>
      <c r="S217" s="557">
        <f t="shared" si="11"/>
        <v>0</v>
      </c>
    </row>
    <row r="218" spans="2:19" hidden="1">
      <c r="B218" s="511">
        <v>206</v>
      </c>
      <c r="C218" s="540"/>
      <c r="D218" s="541"/>
      <c r="E218" s="542"/>
      <c r="F218" s="543"/>
      <c r="G218" s="36"/>
      <c r="H218" s="554">
        <f>IF(Consolidado_Geral!$G$133=7.6%,-(0.0165+0.076)*F218,0)</f>
        <v>0</v>
      </c>
      <c r="I218" s="36"/>
      <c r="J218" s="548"/>
      <c r="K218" s="549"/>
      <c r="L218" s="496"/>
      <c r="M218" s="557">
        <f t="shared" si="10"/>
        <v>0</v>
      </c>
      <c r="N218" s="556"/>
      <c r="O218" s="557">
        <f t="shared" si="9"/>
        <v>0</v>
      </c>
      <c r="P218" s="496"/>
      <c r="Q218" s="552"/>
      <c r="R218" s="496"/>
      <c r="S218" s="557">
        <f t="shared" si="11"/>
        <v>0</v>
      </c>
    </row>
    <row r="219" spans="2:19" hidden="1">
      <c r="B219" s="511">
        <v>207</v>
      </c>
      <c r="C219" s="540"/>
      <c r="D219" s="541"/>
      <c r="E219" s="542"/>
      <c r="F219" s="543"/>
      <c r="G219" s="36"/>
      <c r="H219" s="554">
        <f>IF(Consolidado_Geral!$G$133=7.6%,-(0.0165+0.076)*F219,0)</f>
        <v>0</v>
      </c>
      <c r="I219" s="36"/>
      <c r="J219" s="548"/>
      <c r="K219" s="549"/>
      <c r="L219" s="496"/>
      <c r="M219" s="557">
        <f t="shared" si="10"/>
        <v>0</v>
      </c>
      <c r="N219" s="556"/>
      <c r="O219" s="557">
        <f t="shared" si="9"/>
        <v>0</v>
      </c>
      <c r="P219" s="496"/>
      <c r="Q219" s="552"/>
      <c r="R219" s="496"/>
      <c r="S219" s="557">
        <f t="shared" si="11"/>
        <v>0</v>
      </c>
    </row>
    <row r="220" spans="2:19" hidden="1">
      <c r="B220" s="511">
        <v>208</v>
      </c>
      <c r="C220" s="540"/>
      <c r="D220" s="541"/>
      <c r="E220" s="542"/>
      <c r="F220" s="543"/>
      <c r="G220" s="36"/>
      <c r="H220" s="554">
        <f>IF(Consolidado_Geral!$G$133=7.6%,-(0.0165+0.076)*F220,0)</f>
        <v>0</v>
      </c>
      <c r="I220" s="36"/>
      <c r="J220" s="548"/>
      <c r="K220" s="549"/>
      <c r="L220" s="496"/>
      <c r="M220" s="557">
        <f t="shared" si="10"/>
        <v>0</v>
      </c>
      <c r="N220" s="556"/>
      <c r="O220" s="557">
        <f t="shared" si="9"/>
        <v>0</v>
      </c>
      <c r="P220" s="496"/>
      <c r="Q220" s="552"/>
      <c r="R220" s="496"/>
      <c r="S220" s="557">
        <f t="shared" si="11"/>
        <v>0</v>
      </c>
    </row>
    <row r="221" spans="2:19" hidden="1">
      <c r="B221" s="511">
        <v>209</v>
      </c>
      <c r="C221" s="540"/>
      <c r="D221" s="541"/>
      <c r="E221" s="542"/>
      <c r="F221" s="543"/>
      <c r="G221" s="36"/>
      <c r="H221" s="554">
        <f>IF(Consolidado_Geral!$G$133=7.6%,-(0.0165+0.076)*F221,0)</f>
        <v>0</v>
      </c>
      <c r="I221" s="36"/>
      <c r="J221" s="548"/>
      <c r="K221" s="549"/>
      <c r="L221" s="496"/>
      <c r="M221" s="557">
        <f t="shared" si="10"/>
        <v>0</v>
      </c>
      <c r="N221" s="556"/>
      <c r="O221" s="557">
        <f t="shared" si="9"/>
        <v>0</v>
      </c>
      <c r="Q221" s="552"/>
      <c r="S221" s="557">
        <f t="shared" si="11"/>
        <v>0</v>
      </c>
    </row>
    <row r="222" spans="2:19" hidden="1">
      <c r="B222" s="511">
        <v>210</v>
      </c>
      <c r="C222" s="540"/>
      <c r="D222" s="541"/>
      <c r="E222" s="542"/>
      <c r="F222" s="543"/>
      <c r="G222" s="36"/>
      <c r="H222" s="554">
        <f>IF(Consolidado_Geral!$G$133=7.6%,-(0.0165+0.076)*F222,0)</f>
        <v>0</v>
      </c>
      <c r="I222" s="36"/>
      <c r="J222" s="548"/>
      <c r="K222" s="549"/>
      <c r="L222" s="496"/>
      <c r="M222" s="557">
        <f t="shared" si="10"/>
        <v>0</v>
      </c>
      <c r="N222" s="556"/>
      <c r="O222" s="557">
        <f t="shared" si="9"/>
        <v>0</v>
      </c>
      <c r="Q222" s="552"/>
      <c r="S222" s="557">
        <f t="shared" si="11"/>
        <v>0</v>
      </c>
    </row>
    <row r="223" spans="2:19" hidden="1">
      <c r="B223" s="511">
        <v>211</v>
      </c>
      <c r="C223" s="540"/>
      <c r="D223" s="541"/>
      <c r="E223" s="542"/>
      <c r="F223" s="543"/>
      <c r="G223" s="36"/>
      <c r="H223" s="554">
        <f>IF(Consolidado_Geral!$G$133=7.6%,-(0.0165+0.076)*F223,0)</f>
        <v>0</v>
      </c>
      <c r="I223" s="36"/>
      <c r="J223" s="548"/>
      <c r="K223" s="549"/>
      <c r="L223" s="496"/>
      <c r="M223" s="557">
        <f t="shared" si="10"/>
        <v>0</v>
      </c>
      <c r="N223" s="556"/>
      <c r="O223" s="557">
        <f t="shared" si="9"/>
        <v>0</v>
      </c>
      <c r="Q223" s="552"/>
      <c r="S223" s="557">
        <f t="shared" si="11"/>
        <v>0</v>
      </c>
    </row>
    <row r="224" spans="2:19" hidden="1">
      <c r="B224" s="511">
        <v>212</v>
      </c>
      <c r="C224" s="540"/>
      <c r="D224" s="541"/>
      <c r="E224" s="542"/>
      <c r="F224" s="543"/>
      <c r="G224" s="36"/>
      <c r="H224" s="554">
        <f>IF(Consolidado_Geral!$G$133=7.6%,-(0.0165+0.076)*F224,0)</f>
        <v>0</v>
      </c>
      <c r="I224" s="36"/>
      <c r="J224" s="548"/>
      <c r="K224" s="549"/>
      <c r="L224" s="496"/>
      <c r="M224" s="557">
        <f t="shared" si="10"/>
        <v>0</v>
      </c>
      <c r="N224" s="556"/>
      <c r="O224" s="557">
        <f t="shared" si="9"/>
        <v>0</v>
      </c>
      <c r="Q224" s="552"/>
      <c r="S224" s="557">
        <f t="shared" si="11"/>
        <v>0</v>
      </c>
    </row>
    <row r="225" spans="2:19" hidden="1">
      <c r="B225" s="511">
        <v>213</v>
      </c>
      <c r="C225" s="540"/>
      <c r="D225" s="541"/>
      <c r="E225" s="542"/>
      <c r="F225" s="543"/>
      <c r="G225" s="36"/>
      <c r="H225" s="554">
        <f>IF(Consolidado_Geral!$G$133=7.6%,-(0.0165+0.076)*F225,0)</f>
        <v>0</v>
      </c>
      <c r="I225" s="36"/>
      <c r="J225" s="548"/>
      <c r="K225" s="549"/>
      <c r="L225" s="496"/>
      <c r="M225" s="557">
        <f t="shared" si="10"/>
        <v>0</v>
      </c>
      <c r="N225" s="556"/>
      <c r="O225" s="557">
        <f t="shared" si="9"/>
        <v>0</v>
      </c>
      <c r="Q225" s="552"/>
      <c r="S225" s="557">
        <f t="shared" si="11"/>
        <v>0</v>
      </c>
    </row>
    <row r="226" spans="2:19" hidden="1">
      <c r="B226" s="511">
        <v>214</v>
      </c>
      <c r="C226" s="540"/>
      <c r="D226" s="541"/>
      <c r="E226" s="542"/>
      <c r="F226" s="543"/>
      <c r="G226" s="36"/>
      <c r="H226" s="554">
        <f>IF(Consolidado_Geral!$G$133=7.6%,-(0.0165+0.076)*F226,0)</f>
        <v>0</v>
      </c>
      <c r="I226" s="36"/>
      <c r="J226" s="548"/>
      <c r="K226" s="549"/>
      <c r="L226" s="496"/>
      <c r="M226" s="557">
        <f t="shared" si="10"/>
        <v>0</v>
      </c>
      <c r="N226" s="556"/>
      <c r="O226" s="557">
        <f t="shared" si="9"/>
        <v>0</v>
      </c>
      <c r="Q226" s="552"/>
      <c r="S226" s="557">
        <f t="shared" si="11"/>
        <v>0</v>
      </c>
    </row>
    <row r="227" spans="2:19" hidden="1">
      <c r="B227" s="511">
        <v>215</v>
      </c>
      <c r="C227" s="540"/>
      <c r="D227" s="541"/>
      <c r="E227" s="542"/>
      <c r="F227" s="543"/>
      <c r="G227" s="36"/>
      <c r="H227" s="554">
        <f>IF(Consolidado_Geral!$G$133=7.6%,-(0.0165+0.076)*F227,0)</f>
        <v>0</v>
      </c>
      <c r="I227" s="36"/>
      <c r="J227" s="548"/>
      <c r="K227" s="549"/>
      <c r="L227" s="496"/>
      <c r="M227" s="557">
        <f t="shared" si="10"/>
        <v>0</v>
      </c>
      <c r="N227" s="556"/>
      <c r="O227" s="557">
        <f t="shared" si="9"/>
        <v>0</v>
      </c>
      <c r="Q227" s="552"/>
      <c r="S227" s="557">
        <f t="shared" si="11"/>
        <v>0</v>
      </c>
    </row>
    <row r="228" spans="2:19" hidden="1">
      <c r="B228" s="511">
        <v>216</v>
      </c>
      <c r="C228" s="540"/>
      <c r="D228" s="541"/>
      <c r="E228" s="542"/>
      <c r="F228" s="543"/>
      <c r="G228" s="36"/>
      <c r="H228" s="554">
        <f>IF(Consolidado_Geral!$G$133=7.6%,-(0.0165+0.076)*F228,0)</f>
        <v>0</v>
      </c>
      <c r="I228" s="36"/>
      <c r="J228" s="548"/>
      <c r="K228" s="549"/>
      <c r="L228" s="496"/>
      <c r="M228" s="557">
        <f t="shared" si="10"/>
        <v>0</v>
      </c>
      <c r="N228" s="556"/>
      <c r="O228" s="557">
        <f t="shared" si="9"/>
        <v>0</v>
      </c>
      <c r="Q228" s="552"/>
      <c r="S228" s="557">
        <f t="shared" si="11"/>
        <v>0</v>
      </c>
    </row>
    <row r="229" spans="2:19" hidden="1">
      <c r="B229" s="511">
        <v>217</v>
      </c>
      <c r="C229" s="540"/>
      <c r="D229" s="541"/>
      <c r="E229" s="542"/>
      <c r="F229" s="543"/>
      <c r="G229" s="36"/>
      <c r="H229" s="554">
        <f>IF(Consolidado_Geral!$G$133=7.6%,-(0.0165+0.076)*F229,0)</f>
        <v>0</v>
      </c>
      <c r="I229" s="36"/>
      <c r="J229" s="548"/>
      <c r="K229" s="549"/>
      <c r="L229" s="496"/>
      <c r="M229" s="557">
        <f t="shared" si="10"/>
        <v>0</v>
      </c>
      <c r="N229" s="556"/>
      <c r="O229" s="557">
        <f t="shared" si="9"/>
        <v>0</v>
      </c>
      <c r="Q229" s="552"/>
      <c r="S229" s="557">
        <f t="shared" si="11"/>
        <v>0</v>
      </c>
    </row>
    <row r="230" spans="2:19" hidden="1">
      <c r="B230" s="511">
        <v>218</v>
      </c>
      <c r="C230" s="540"/>
      <c r="D230" s="541"/>
      <c r="E230" s="542"/>
      <c r="F230" s="543"/>
      <c r="G230" s="36"/>
      <c r="H230" s="554">
        <f>IF(Consolidado_Geral!$G$133=7.6%,-(0.0165+0.076)*F230,0)</f>
        <v>0</v>
      </c>
      <c r="I230" s="36"/>
      <c r="J230" s="548"/>
      <c r="K230" s="549"/>
      <c r="L230" s="496"/>
      <c r="M230" s="557">
        <f t="shared" si="10"/>
        <v>0</v>
      </c>
      <c r="N230" s="556"/>
      <c r="O230" s="557">
        <f t="shared" si="9"/>
        <v>0</v>
      </c>
      <c r="Q230" s="552"/>
      <c r="S230" s="557">
        <f t="shared" si="11"/>
        <v>0</v>
      </c>
    </row>
    <row r="231" spans="2:19" hidden="1">
      <c r="B231" s="511">
        <v>219</v>
      </c>
      <c r="C231" s="540"/>
      <c r="D231" s="541"/>
      <c r="E231" s="542"/>
      <c r="F231" s="543"/>
      <c r="G231" s="36"/>
      <c r="H231" s="554">
        <f>IF(Consolidado_Geral!$G$133=7.6%,-(0.0165+0.076)*F231,0)</f>
        <v>0</v>
      </c>
      <c r="I231" s="36"/>
      <c r="J231" s="548"/>
      <c r="K231" s="549"/>
      <c r="L231" s="496"/>
      <c r="M231" s="557">
        <f t="shared" si="10"/>
        <v>0</v>
      </c>
      <c r="N231" s="556"/>
      <c r="O231" s="557">
        <f t="shared" si="9"/>
        <v>0</v>
      </c>
      <c r="Q231" s="552"/>
      <c r="S231" s="557">
        <f t="shared" si="11"/>
        <v>0</v>
      </c>
    </row>
    <row r="232" spans="2:19" hidden="1">
      <c r="B232" s="511">
        <v>220</v>
      </c>
      <c r="C232" s="540"/>
      <c r="D232" s="541"/>
      <c r="E232" s="542"/>
      <c r="F232" s="543"/>
      <c r="G232" s="36"/>
      <c r="H232" s="554">
        <f>IF(Consolidado_Geral!$G$133=7.6%,-(0.0165+0.076)*F232,0)</f>
        <v>0</v>
      </c>
      <c r="I232" s="36"/>
      <c r="J232" s="548"/>
      <c r="K232" s="549"/>
      <c r="L232" s="496"/>
      <c r="M232" s="557">
        <f t="shared" si="10"/>
        <v>0</v>
      </c>
      <c r="N232" s="556"/>
      <c r="O232" s="557">
        <f t="shared" si="9"/>
        <v>0</v>
      </c>
      <c r="Q232" s="552"/>
      <c r="S232" s="557">
        <f t="shared" si="11"/>
        <v>0</v>
      </c>
    </row>
    <row r="233" spans="2:19" hidden="1">
      <c r="B233" s="511">
        <v>221</v>
      </c>
      <c r="C233" s="540"/>
      <c r="D233" s="541"/>
      <c r="E233" s="542"/>
      <c r="F233" s="543"/>
      <c r="G233" s="36"/>
      <c r="H233" s="554">
        <f>IF(Consolidado_Geral!$G$133=7.6%,-(0.0165+0.076)*F233,0)</f>
        <v>0</v>
      </c>
      <c r="I233" s="36"/>
      <c r="J233" s="548"/>
      <c r="K233" s="549"/>
      <c r="L233" s="496"/>
      <c r="M233" s="557">
        <f t="shared" si="10"/>
        <v>0</v>
      </c>
      <c r="N233" s="556"/>
      <c r="O233" s="557">
        <f t="shared" si="9"/>
        <v>0</v>
      </c>
      <c r="Q233" s="552"/>
      <c r="S233" s="557">
        <f t="shared" si="11"/>
        <v>0</v>
      </c>
    </row>
    <row r="234" spans="2:19" hidden="1">
      <c r="B234" s="511">
        <v>222</v>
      </c>
      <c r="C234" s="540"/>
      <c r="D234" s="541"/>
      <c r="E234" s="542"/>
      <c r="F234" s="543"/>
      <c r="G234" s="36"/>
      <c r="H234" s="554">
        <f>IF(Consolidado_Geral!$G$133=7.6%,-(0.0165+0.076)*F234,0)</f>
        <v>0</v>
      </c>
      <c r="I234" s="36"/>
      <c r="J234" s="548"/>
      <c r="K234" s="549"/>
      <c r="L234" s="496"/>
      <c r="M234" s="557">
        <f t="shared" si="10"/>
        <v>0</v>
      </c>
      <c r="N234" s="556"/>
      <c r="O234" s="557">
        <f t="shared" si="9"/>
        <v>0</v>
      </c>
      <c r="P234" s="496"/>
      <c r="Q234" s="552"/>
      <c r="R234" s="496"/>
      <c r="S234" s="557">
        <f t="shared" si="11"/>
        <v>0</v>
      </c>
    </row>
    <row r="235" spans="2:19" hidden="1">
      <c r="B235" s="511">
        <v>223</v>
      </c>
      <c r="C235" s="540"/>
      <c r="D235" s="541"/>
      <c r="E235" s="542"/>
      <c r="F235" s="543"/>
      <c r="G235" s="36"/>
      <c r="H235" s="554">
        <f>IF(Consolidado_Geral!$G$133=7.6%,-(0.0165+0.076)*F235,0)</f>
        <v>0</v>
      </c>
      <c r="I235" s="36"/>
      <c r="J235" s="548"/>
      <c r="K235" s="549"/>
      <c r="L235" s="496"/>
      <c r="M235" s="557">
        <f t="shared" si="10"/>
        <v>0</v>
      </c>
      <c r="N235" s="556"/>
      <c r="O235" s="557">
        <f t="shared" si="9"/>
        <v>0</v>
      </c>
      <c r="P235" s="496"/>
      <c r="Q235" s="552"/>
      <c r="R235" s="496"/>
      <c r="S235" s="557">
        <f t="shared" si="11"/>
        <v>0</v>
      </c>
    </row>
    <row r="236" spans="2:19" hidden="1">
      <c r="B236" s="511">
        <v>224</v>
      </c>
      <c r="C236" s="540"/>
      <c r="D236" s="541"/>
      <c r="E236" s="542"/>
      <c r="F236" s="543"/>
      <c r="G236" s="36"/>
      <c r="H236" s="554">
        <f>IF(Consolidado_Geral!$G$133=7.6%,-(0.0165+0.076)*F236,0)</f>
        <v>0</v>
      </c>
      <c r="I236" s="36"/>
      <c r="J236" s="548"/>
      <c r="K236" s="549"/>
      <c r="L236" s="496"/>
      <c r="M236" s="557">
        <f t="shared" si="10"/>
        <v>0</v>
      </c>
      <c r="N236" s="556"/>
      <c r="O236" s="557">
        <f t="shared" si="9"/>
        <v>0</v>
      </c>
      <c r="P236" s="496"/>
      <c r="Q236" s="552"/>
      <c r="R236" s="496"/>
      <c r="S236" s="557">
        <f t="shared" si="11"/>
        <v>0</v>
      </c>
    </row>
    <row r="237" spans="2:19" hidden="1">
      <c r="B237" s="511">
        <v>225</v>
      </c>
      <c r="C237" s="540"/>
      <c r="D237" s="541"/>
      <c r="E237" s="542"/>
      <c r="F237" s="543"/>
      <c r="G237" s="36"/>
      <c r="H237" s="554">
        <f>IF(Consolidado_Geral!$G$133=7.6%,-(0.0165+0.076)*F237,0)</f>
        <v>0</v>
      </c>
      <c r="I237" s="36"/>
      <c r="J237" s="548"/>
      <c r="K237" s="549"/>
      <c r="L237" s="496"/>
      <c r="M237" s="557">
        <f t="shared" si="10"/>
        <v>0</v>
      </c>
      <c r="N237" s="556"/>
      <c r="O237" s="557">
        <f t="shared" si="9"/>
        <v>0</v>
      </c>
      <c r="P237" s="496"/>
      <c r="Q237" s="552"/>
      <c r="R237" s="496"/>
      <c r="S237" s="557">
        <f t="shared" si="11"/>
        <v>0</v>
      </c>
    </row>
    <row r="238" spans="2:19" hidden="1">
      <c r="B238" s="511">
        <v>226</v>
      </c>
      <c r="C238" s="540"/>
      <c r="D238" s="541"/>
      <c r="E238" s="542"/>
      <c r="F238" s="543"/>
      <c r="G238" s="36"/>
      <c r="H238" s="554">
        <f>IF(Consolidado_Geral!$G$133=7.6%,-(0.0165+0.076)*F238,0)</f>
        <v>0</v>
      </c>
      <c r="I238" s="36"/>
      <c r="J238" s="548"/>
      <c r="K238" s="549"/>
      <c r="L238" s="496"/>
      <c r="M238" s="557">
        <f t="shared" si="10"/>
        <v>0</v>
      </c>
      <c r="N238" s="556"/>
      <c r="O238" s="557">
        <f t="shared" si="9"/>
        <v>0</v>
      </c>
      <c r="P238" s="496"/>
      <c r="Q238" s="552"/>
      <c r="R238" s="496"/>
      <c r="S238" s="557">
        <f t="shared" si="11"/>
        <v>0</v>
      </c>
    </row>
    <row r="239" spans="2:19" hidden="1">
      <c r="B239" s="511">
        <v>227</v>
      </c>
      <c r="C239" s="540"/>
      <c r="D239" s="541"/>
      <c r="E239" s="542"/>
      <c r="F239" s="543"/>
      <c r="G239" s="36"/>
      <c r="H239" s="554">
        <f>IF(Consolidado_Geral!$G$133=7.6%,-(0.0165+0.076)*F239,0)</f>
        <v>0</v>
      </c>
      <c r="I239" s="36"/>
      <c r="J239" s="548"/>
      <c r="K239" s="549"/>
      <c r="L239" s="496"/>
      <c r="M239" s="557">
        <f t="shared" si="10"/>
        <v>0</v>
      </c>
      <c r="N239" s="556"/>
      <c r="O239" s="557">
        <f t="shared" si="9"/>
        <v>0</v>
      </c>
      <c r="P239" s="496"/>
      <c r="Q239" s="552"/>
      <c r="R239" s="496"/>
      <c r="S239" s="557">
        <f t="shared" si="11"/>
        <v>0</v>
      </c>
    </row>
    <row r="240" spans="2:19" hidden="1">
      <c r="B240" s="511">
        <v>228</v>
      </c>
      <c r="C240" s="540"/>
      <c r="D240" s="541"/>
      <c r="E240" s="542"/>
      <c r="F240" s="543"/>
      <c r="G240" s="36"/>
      <c r="H240" s="554">
        <f>IF(Consolidado_Geral!$G$133=7.6%,-(0.0165+0.076)*F240,0)</f>
        <v>0</v>
      </c>
      <c r="I240" s="36"/>
      <c r="J240" s="548"/>
      <c r="K240" s="549"/>
      <c r="L240" s="496"/>
      <c r="M240" s="557">
        <f t="shared" si="10"/>
        <v>0</v>
      </c>
      <c r="N240" s="556"/>
      <c r="O240" s="557">
        <f t="shared" si="9"/>
        <v>0</v>
      </c>
      <c r="P240" s="496"/>
      <c r="Q240" s="552"/>
      <c r="R240" s="496"/>
      <c r="S240" s="557">
        <f t="shared" si="11"/>
        <v>0</v>
      </c>
    </row>
    <row r="241" spans="2:19" hidden="1">
      <c r="B241" s="511">
        <v>229</v>
      </c>
      <c r="C241" s="540"/>
      <c r="D241" s="541"/>
      <c r="E241" s="542"/>
      <c r="F241" s="543"/>
      <c r="G241" s="36"/>
      <c r="H241" s="554">
        <f>IF(Consolidado_Geral!$G$133=7.6%,-(0.0165+0.076)*F241,0)</f>
        <v>0</v>
      </c>
      <c r="I241" s="36"/>
      <c r="J241" s="548"/>
      <c r="K241" s="549"/>
      <c r="L241" s="496"/>
      <c r="M241" s="557">
        <f t="shared" si="10"/>
        <v>0</v>
      </c>
      <c r="N241" s="556"/>
      <c r="O241" s="557">
        <f t="shared" si="9"/>
        <v>0</v>
      </c>
      <c r="P241" s="496"/>
      <c r="Q241" s="552"/>
      <c r="R241" s="496"/>
      <c r="S241" s="557">
        <f t="shared" si="11"/>
        <v>0</v>
      </c>
    </row>
    <row r="242" spans="2:19" hidden="1">
      <c r="B242" s="511">
        <v>230</v>
      </c>
      <c r="C242" s="540"/>
      <c r="D242" s="541"/>
      <c r="E242" s="542"/>
      <c r="F242" s="543"/>
      <c r="G242" s="36"/>
      <c r="H242" s="554">
        <f>IF(Consolidado_Geral!$G$133=7.6%,-(0.0165+0.076)*F242,0)</f>
        <v>0</v>
      </c>
      <c r="I242" s="36"/>
      <c r="J242" s="548"/>
      <c r="K242" s="549"/>
      <c r="L242" s="496"/>
      <c r="M242" s="557">
        <f t="shared" si="10"/>
        <v>0</v>
      </c>
      <c r="N242" s="556"/>
      <c r="O242" s="557">
        <f t="shared" si="9"/>
        <v>0</v>
      </c>
      <c r="P242" s="496"/>
      <c r="Q242" s="552"/>
      <c r="R242" s="496"/>
      <c r="S242" s="557">
        <f t="shared" si="11"/>
        <v>0</v>
      </c>
    </row>
    <row r="243" spans="2:19" hidden="1">
      <c r="B243" s="511">
        <v>231</v>
      </c>
      <c r="C243" s="540"/>
      <c r="D243" s="541"/>
      <c r="E243" s="542"/>
      <c r="F243" s="543"/>
      <c r="G243" s="36"/>
      <c r="H243" s="554">
        <f>IF(Consolidado_Geral!$G$133=7.6%,-(0.0165+0.076)*F243,0)</f>
        <v>0</v>
      </c>
      <c r="I243" s="36"/>
      <c r="J243" s="548"/>
      <c r="K243" s="549"/>
      <c r="L243" s="496"/>
      <c r="M243" s="557">
        <f t="shared" si="10"/>
        <v>0</v>
      </c>
      <c r="N243" s="556"/>
      <c r="O243" s="557">
        <f t="shared" si="9"/>
        <v>0</v>
      </c>
      <c r="P243" s="496"/>
      <c r="Q243" s="552"/>
      <c r="R243" s="496"/>
      <c r="S243" s="557">
        <f t="shared" si="11"/>
        <v>0</v>
      </c>
    </row>
    <row r="244" spans="2:19" hidden="1">
      <c r="B244" s="511">
        <v>232</v>
      </c>
      <c r="C244" s="540"/>
      <c r="D244" s="541"/>
      <c r="E244" s="542"/>
      <c r="F244" s="543"/>
      <c r="G244" s="36"/>
      <c r="H244" s="554">
        <f>IF(Consolidado_Geral!$G$133=7.6%,-(0.0165+0.076)*F244,0)</f>
        <v>0</v>
      </c>
      <c r="I244" s="36"/>
      <c r="J244" s="548"/>
      <c r="K244" s="549"/>
      <c r="L244" s="496"/>
      <c r="M244" s="557">
        <f t="shared" si="10"/>
        <v>0</v>
      </c>
      <c r="N244" s="556"/>
      <c r="O244" s="557">
        <f t="shared" si="9"/>
        <v>0</v>
      </c>
      <c r="P244" s="496"/>
      <c r="Q244" s="552"/>
      <c r="R244" s="496"/>
      <c r="S244" s="557">
        <f t="shared" si="11"/>
        <v>0</v>
      </c>
    </row>
    <row r="245" spans="2:19" hidden="1">
      <c r="B245" s="511">
        <v>233</v>
      </c>
      <c r="C245" s="540"/>
      <c r="D245" s="541"/>
      <c r="E245" s="542"/>
      <c r="F245" s="543"/>
      <c r="G245" s="36"/>
      <c r="H245" s="554">
        <f>IF(Consolidado_Geral!$G$133=7.6%,-(0.0165+0.076)*F245,0)</f>
        <v>0</v>
      </c>
      <c r="I245" s="36"/>
      <c r="J245" s="548"/>
      <c r="K245" s="549"/>
      <c r="L245" s="496"/>
      <c r="M245" s="557">
        <f t="shared" si="10"/>
        <v>0</v>
      </c>
      <c r="N245" s="556"/>
      <c r="O245" s="557">
        <f t="shared" si="9"/>
        <v>0</v>
      </c>
      <c r="Q245" s="552"/>
      <c r="S245" s="557">
        <f t="shared" si="11"/>
        <v>0</v>
      </c>
    </row>
    <row r="246" spans="2:19" hidden="1">
      <c r="B246" s="511">
        <v>234</v>
      </c>
      <c r="C246" s="540"/>
      <c r="D246" s="541"/>
      <c r="E246" s="542"/>
      <c r="F246" s="543"/>
      <c r="G246" s="36"/>
      <c r="H246" s="554">
        <f>IF(Consolidado_Geral!$G$133=7.6%,-(0.0165+0.076)*F246,0)</f>
        <v>0</v>
      </c>
      <c r="I246" s="36"/>
      <c r="J246" s="548"/>
      <c r="K246" s="549"/>
      <c r="L246" s="496"/>
      <c r="M246" s="557">
        <f t="shared" si="10"/>
        <v>0</v>
      </c>
      <c r="N246" s="556"/>
      <c r="O246" s="557">
        <f t="shared" si="9"/>
        <v>0</v>
      </c>
      <c r="Q246" s="552"/>
      <c r="S246" s="557">
        <f t="shared" si="11"/>
        <v>0</v>
      </c>
    </row>
    <row r="247" spans="2:19" hidden="1">
      <c r="B247" s="511">
        <v>235</v>
      </c>
      <c r="C247" s="540"/>
      <c r="D247" s="541"/>
      <c r="E247" s="542"/>
      <c r="F247" s="543"/>
      <c r="G247" s="36"/>
      <c r="H247" s="554">
        <f>IF(Consolidado_Geral!$G$133=7.6%,-(0.0165+0.076)*F247,0)</f>
        <v>0</v>
      </c>
      <c r="I247" s="36"/>
      <c r="J247" s="548"/>
      <c r="K247" s="549"/>
      <c r="L247" s="496"/>
      <c r="M247" s="557">
        <f t="shared" si="10"/>
        <v>0</v>
      </c>
      <c r="N247" s="556"/>
      <c r="O247" s="557">
        <f t="shared" si="9"/>
        <v>0</v>
      </c>
      <c r="Q247" s="552"/>
      <c r="S247" s="557">
        <f t="shared" si="11"/>
        <v>0</v>
      </c>
    </row>
    <row r="248" spans="2:19" hidden="1">
      <c r="B248" s="511">
        <v>236</v>
      </c>
      <c r="C248" s="540"/>
      <c r="D248" s="541"/>
      <c r="E248" s="542"/>
      <c r="F248" s="543"/>
      <c r="G248" s="36"/>
      <c r="H248" s="554">
        <f>IF(Consolidado_Geral!$G$133=7.6%,-(0.0165+0.076)*F248,0)</f>
        <v>0</v>
      </c>
      <c r="I248" s="36"/>
      <c r="J248" s="548"/>
      <c r="K248" s="549"/>
      <c r="L248" s="496"/>
      <c r="M248" s="557">
        <f t="shared" si="10"/>
        <v>0</v>
      </c>
      <c r="N248" s="556"/>
      <c r="O248" s="557">
        <f t="shared" si="9"/>
        <v>0</v>
      </c>
      <c r="Q248" s="552"/>
      <c r="S248" s="557">
        <f t="shared" si="11"/>
        <v>0</v>
      </c>
    </row>
    <row r="249" spans="2:19" hidden="1">
      <c r="B249" s="511">
        <v>237</v>
      </c>
      <c r="C249" s="540"/>
      <c r="D249" s="541"/>
      <c r="E249" s="542"/>
      <c r="F249" s="543"/>
      <c r="G249" s="36"/>
      <c r="H249" s="554">
        <f>IF(Consolidado_Geral!$G$133=7.6%,-(0.0165+0.076)*F249,0)</f>
        <v>0</v>
      </c>
      <c r="I249" s="36"/>
      <c r="J249" s="548"/>
      <c r="K249" s="549"/>
      <c r="L249" s="496"/>
      <c r="M249" s="557">
        <f t="shared" si="10"/>
        <v>0</v>
      </c>
      <c r="N249" s="556"/>
      <c r="O249" s="557">
        <f t="shared" si="9"/>
        <v>0</v>
      </c>
      <c r="Q249" s="552"/>
      <c r="S249" s="557">
        <f t="shared" si="11"/>
        <v>0</v>
      </c>
    </row>
    <row r="250" spans="2:19" hidden="1">
      <c r="B250" s="511">
        <v>238</v>
      </c>
      <c r="C250" s="540"/>
      <c r="D250" s="541"/>
      <c r="E250" s="542"/>
      <c r="F250" s="543"/>
      <c r="G250" s="36"/>
      <c r="H250" s="554">
        <f>IF(Consolidado_Geral!$G$133=7.6%,-(0.0165+0.076)*F250,0)</f>
        <v>0</v>
      </c>
      <c r="I250" s="36"/>
      <c r="J250" s="548"/>
      <c r="K250" s="549"/>
      <c r="L250" s="496"/>
      <c r="M250" s="557">
        <f t="shared" si="10"/>
        <v>0</v>
      </c>
      <c r="N250" s="556"/>
      <c r="O250" s="557">
        <f t="shared" si="9"/>
        <v>0</v>
      </c>
      <c r="Q250" s="552"/>
      <c r="S250" s="557">
        <f t="shared" si="11"/>
        <v>0</v>
      </c>
    </row>
    <row r="251" spans="2:19" hidden="1">
      <c r="B251" s="511">
        <v>239</v>
      </c>
      <c r="C251" s="540"/>
      <c r="D251" s="541"/>
      <c r="E251" s="542"/>
      <c r="F251" s="543"/>
      <c r="G251" s="36"/>
      <c r="H251" s="554">
        <f>IF(Consolidado_Geral!$G$133=7.6%,-(0.0165+0.076)*F251,0)</f>
        <v>0</v>
      </c>
      <c r="I251" s="36"/>
      <c r="J251" s="548"/>
      <c r="K251" s="549"/>
      <c r="L251" s="496"/>
      <c r="M251" s="557">
        <f t="shared" si="10"/>
        <v>0</v>
      </c>
      <c r="N251" s="556"/>
      <c r="O251" s="557">
        <f t="shared" si="9"/>
        <v>0</v>
      </c>
      <c r="Q251" s="552"/>
      <c r="S251" s="557">
        <f t="shared" si="11"/>
        <v>0</v>
      </c>
    </row>
    <row r="252" spans="2:19" hidden="1">
      <c r="B252" s="511">
        <v>240</v>
      </c>
      <c r="C252" s="540"/>
      <c r="D252" s="541"/>
      <c r="E252" s="542"/>
      <c r="F252" s="543"/>
      <c r="G252" s="36"/>
      <c r="H252" s="554">
        <f>IF(Consolidado_Geral!$G$133=7.6%,-(0.0165+0.076)*F252,0)</f>
        <v>0</v>
      </c>
      <c r="I252" s="36"/>
      <c r="J252" s="548"/>
      <c r="K252" s="549"/>
      <c r="L252" s="496"/>
      <c r="M252" s="557">
        <f t="shared" si="10"/>
        <v>0</v>
      </c>
      <c r="N252" s="556"/>
      <c r="O252" s="557">
        <f t="shared" si="9"/>
        <v>0</v>
      </c>
      <c r="Q252" s="552"/>
      <c r="S252" s="557">
        <f t="shared" si="11"/>
        <v>0</v>
      </c>
    </row>
    <row r="253" spans="2:19" hidden="1">
      <c r="B253" s="511">
        <v>241</v>
      </c>
      <c r="C253" s="540"/>
      <c r="D253" s="541"/>
      <c r="E253" s="542"/>
      <c r="F253" s="543"/>
      <c r="G253" s="36"/>
      <c r="H253" s="554">
        <f>IF(Consolidado_Geral!$G$133=7.6%,-(0.0165+0.076)*F253,0)</f>
        <v>0</v>
      </c>
      <c r="I253" s="36"/>
      <c r="J253" s="548"/>
      <c r="K253" s="549"/>
      <c r="L253" s="496"/>
      <c r="M253" s="557">
        <f t="shared" si="10"/>
        <v>0</v>
      </c>
      <c r="N253" s="556"/>
      <c r="O253" s="557">
        <f t="shared" si="9"/>
        <v>0</v>
      </c>
      <c r="Q253" s="552"/>
      <c r="S253" s="557">
        <f t="shared" si="11"/>
        <v>0</v>
      </c>
    </row>
    <row r="254" spans="2:19" hidden="1">
      <c r="B254" s="511">
        <v>242</v>
      </c>
      <c r="C254" s="540"/>
      <c r="D254" s="541"/>
      <c r="E254" s="542"/>
      <c r="F254" s="543"/>
      <c r="G254" s="36"/>
      <c r="H254" s="554">
        <f>IF(Consolidado_Geral!$G$133=7.6%,-(0.0165+0.076)*F254,0)</f>
        <v>0</v>
      </c>
      <c r="I254" s="36"/>
      <c r="J254" s="548"/>
      <c r="K254" s="549"/>
      <c r="L254" s="496"/>
      <c r="M254" s="557">
        <f t="shared" si="10"/>
        <v>0</v>
      </c>
      <c r="N254" s="556"/>
      <c r="O254" s="557">
        <f t="shared" si="9"/>
        <v>0</v>
      </c>
      <c r="Q254" s="552"/>
      <c r="S254" s="557">
        <f t="shared" si="11"/>
        <v>0</v>
      </c>
    </row>
    <row r="255" spans="2:19" hidden="1">
      <c r="B255" s="511">
        <v>243</v>
      </c>
      <c r="C255" s="540"/>
      <c r="D255" s="541"/>
      <c r="E255" s="542"/>
      <c r="F255" s="543"/>
      <c r="G255" s="36"/>
      <c r="H255" s="554">
        <f>IF(Consolidado_Geral!$G$133=7.6%,-(0.0165+0.076)*F255,0)</f>
        <v>0</v>
      </c>
      <c r="I255" s="36"/>
      <c r="J255" s="548"/>
      <c r="K255" s="549"/>
      <c r="L255" s="496"/>
      <c r="M255" s="557">
        <f t="shared" si="10"/>
        <v>0</v>
      </c>
      <c r="N255" s="556"/>
      <c r="O255" s="557">
        <f t="shared" si="9"/>
        <v>0</v>
      </c>
      <c r="Q255" s="552"/>
      <c r="S255" s="557">
        <f t="shared" si="11"/>
        <v>0</v>
      </c>
    </row>
    <row r="256" spans="2:19" hidden="1">
      <c r="B256" s="511">
        <v>244</v>
      </c>
      <c r="C256" s="540"/>
      <c r="D256" s="541"/>
      <c r="E256" s="542"/>
      <c r="F256" s="543"/>
      <c r="G256" s="36"/>
      <c r="H256" s="554">
        <f>IF(Consolidado_Geral!$G$133=7.6%,-(0.0165+0.076)*F256,0)</f>
        <v>0</v>
      </c>
      <c r="I256" s="36"/>
      <c r="J256" s="548"/>
      <c r="K256" s="549"/>
      <c r="L256" s="496"/>
      <c r="M256" s="557">
        <f t="shared" si="10"/>
        <v>0</v>
      </c>
      <c r="N256" s="556"/>
      <c r="O256" s="557">
        <f t="shared" si="9"/>
        <v>0</v>
      </c>
      <c r="Q256" s="552"/>
      <c r="S256" s="557">
        <f t="shared" si="11"/>
        <v>0</v>
      </c>
    </row>
    <row r="257" spans="2:19" hidden="1">
      <c r="B257" s="511">
        <v>245</v>
      </c>
      <c r="C257" s="540"/>
      <c r="D257" s="541"/>
      <c r="E257" s="542"/>
      <c r="F257" s="543"/>
      <c r="G257" s="36"/>
      <c r="H257" s="554">
        <f>IF(Consolidado_Geral!$G$133=7.6%,-(0.0165+0.076)*F257,0)</f>
        <v>0</v>
      </c>
      <c r="I257" s="36"/>
      <c r="J257" s="548"/>
      <c r="K257" s="549"/>
      <c r="L257" s="496"/>
      <c r="M257" s="557">
        <f t="shared" si="10"/>
        <v>0</v>
      </c>
      <c r="N257" s="556"/>
      <c r="O257" s="557">
        <f t="shared" si="9"/>
        <v>0</v>
      </c>
      <c r="Q257" s="552"/>
      <c r="S257" s="557">
        <f t="shared" si="11"/>
        <v>0</v>
      </c>
    </row>
    <row r="258" spans="2:19" hidden="1">
      <c r="B258" s="511">
        <v>246</v>
      </c>
      <c r="C258" s="540"/>
      <c r="D258" s="541"/>
      <c r="E258" s="542"/>
      <c r="F258" s="543"/>
      <c r="G258" s="36"/>
      <c r="H258" s="554">
        <f>IF(Consolidado_Geral!$G$133=7.6%,-(0.0165+0.076)*F258,0)</f>
        <v>0</v>
      </c>
      <c r="I258" s="36"/>
      <c r="J258" s="548"/>
      <c r="K258" s="549"/>
      <c r="L258" s="496"/>
      <c r="M258" s="557">
        <f t="shared" si="10"/>
        <v>0</v>
      </c>
      <c r="N258" s="556"/>
      <c r="O258" s="557">
        <f t="shared" si="9"/>
        <v>0</v>
      </c>
      <c r="Q258" s="552"/>
      <c r="S258" s="557">
        <f t="shared" si="11"/>
        <v>0</v>
      </c>
    </row>
    <row r="259" spans="2:19" hidden="1">
      <c r="B259" s="511">
        <v>247</v>
      </c>
      <c r="C259" s="540"/>
      <c r="D259" s="541"/>
      <c r="E259" s="542"/>
      <c r="F259" s="543"/>
      <c r="G259" s="36"/>
      <c r="H259" s="554">
        <f>IF(Consolidado_Geral!$G$133=7.6%,-(0.0165+0.076)*F259,0)</f>
        <v>0</v>
      </c>
      <c r="I259" s="36"/>
      <c r="J259" s="548"/>
      <c r="K259" s="549"/>
      <c r="L259" s="496"/>
      <c r="M259" s="557">
        <f t="shared" si="10"/>
        <v>0</v>
      </c>
      <c r="N259" s="556"/>
      <c r="O259" s="557">
        <f t="shared" si="9"/>
        <v>0</v>
      </c>
      <c r="Q259" s="552"/>
      <c r="S259" s="557">
        <f t="shared" si="11"/>
        <v>0</v>
      </c>
    </row>
    <row r="260" spans="2:19" hidden="1">
      <c r="B260" s="511">
        <v>248</v>
      </c>
      <c r="C260" s="540"/>
      <c r="D260" s="541"/>
      <c r="E260" s="542"/>
      <c r="F260" s="543"/>
      <c r="G260" s="36"/>
      <c r="H260" s="554">
        <f>IF(Consolidado_Geral!$G$133=7.6%,-(0.0165+0.076)*F260,0)</f>
        <v>0</v>
      </c>
      <c r="I260" s="36"/>
      <c r="J260" s="548"/>
      <c r="K260" s="549"/>
      <c r="L260" s="496"/>
      <c r="M260" s="557">
        <f t="shared" si="10"/>
        <v>0</v>
      </c>
      <c r="N260" s="556"/>
      <c r="O260" s="557">
        <f t="shared" si="9"/>
        <v>0</v>
      </c>
      <c r="P260" s="496"/>
      <c r="Q260" s="552"/>
      <c r="R260" s="496"/>
      <c r="S260" s="557">
        <f t="shared" si="11"/>
        <v>0</v>
      </c>
    </row>
    <row r="261" spans="2:19" hidden="1">
      <c r="B261" s="511">
        <v>249</v>
      </c>
      <c r="C261" s="540"/>
      <c r="D261" s="541"/>
      <c r="E261" s="542"/>
      <c r="F261" s="543"/>
      <c r="G261" s="36"/>
      <c r="H261" s="554">
        <f>IF(Consolidado_Geral!$G$133=7.6%,-(0.0165+0.076)*F261,0)</f>
        <v>0</v>
      </c>
      <c r="I261" s="36"/>
      <c r="J261" s="548"/>
      <c r="K261" s="549"/>
      <c r="L261" s="496"/>
      <c r="M261" s="557">
        <f t="shared" si="10"/>
        <v>0</v>
      </c>
      <c r="N261" s="556"/>
      <c r="O261" s="557">
        <f t="shared" si="9"/>
        <v>0</v>
      </c>
      <c r="Q261" s="552"/>
      <c r="S261" s="557">
        <f t="shared" si="11"/>
        <v>0</v>
      </c>
    </row>
    <row r="262" spans="2:19" hidden="1">
      <c r="B262" s="511">
        <v>250</v>
      </c>
      <c r="C262" s="540"/>
      <c r="D262" s="541"/>
      <c r="E262" s="542"/>
      <c r="F262" s="543"/>
      <c r="G262" s="36"/>
      <c r="H262" s="554">
        <f>IF(Consolidado_Geral!$G$133=7.6%,-(0.0165+0.076)*F262,0)</f>
        <v>0</v>
      </c>
      <c r="I262" s="36"/>
      <c r="J262" s="548"/>
      <c r="K262" s="549"/>
      <c r="L262" s="496"/>
      <c r="M262" s="557">
        <f t="shared" si="10"/>
        <v>0</v>
      </c>
      <c r="N262" s="556"/>
      <c r="O262" s="557">
        <f t="shared" si="9"/>
        <v>0</v>
      </c>
      <c r="Q262" s="552"/>
      <c r="S262" s="557">
        <f t="shared" si="11"/>
        <v>0</v>
      </c>
    </row>
    <row r="263" spans="2:19" hidden="1">
      <c r="B263" s="511">
        <v>251</v>
      </c>
      <c r="C263" s="540"/>
      <c r="D263" s="541"/>
      <c r="E263" s="542"/>
      <c r="F263" s="543"/>
      <c r="G263" s="36"/>
      <c r="H263" s="554">
        <f>IF(Consolidado_Geral!$G$133=7.6%,-(0.0165+0.076)*F263,0)</f>
        <v>0</v>
      </c>
      <c r="I263" s="36"/>
      <c r="J263" s="548"/>
      <c r="K263" s="549"/>
      <c r="L263" s="496"/>
      <c r="M263" s="557">
        <f t="shared" si="10"/>
        <v>0</v>
      </c>
      <c r="N263" s="556"/>
      <c r="O263" s="557">
        <f t="shared" si="9"/>
        <v>0</v>
      </c>
      <c r="Q263" s="552"/>
      <c r="S263" s="557">
        <f t="shared" si="11"/>
        <v>0</v>
      </c>
    </row>
    <row r="264" spans="2:19" hidden="1">
      <c r="B264" s="511">
        <v>252</v>
      </c>
      <c r="C264" s="540"/>
      <c r="D264" s="541"/>
      <c r="E264" s="542"/>
      <c r="F264" s="543"/>
      <c r="G264" s="36"/>
      <c r="H264" s="554">
        <f>IF(Consolidado_Geral!$G$133=7.6%,-(0.0165+0.076)*F264,0)</f>
        <v>0</v>
      </c>
      <c r="I264" s="36"/>
      <c r="J264" s="548"/>
      <c r="K264" s="549"/>
      <c r="L264" s="496"/>
      <c r="M264" s="557">
        <f t="shared" si="10"/>
        <v>0</v>
      </c>
      <c r="N264" s="556"/>
      <c r="O264" s="557">
        <f t="shared" si="9"/>
        <v>0</v>
      </c>
      <c r="Q264" s="552"/>
      <c r="S264" s="557">
        <f t="shared" si="11"/>
        <v>0</v>
      </c>
    </row>
    <row r="265" spans="2:19" hidden="1">
      <c r="B265" s="511">
        <v>253</v>
      </c>
      <c r="C265" s="540"/>
      <c r="D265" s="541"/>
      <c r="E265" s="542"/>
      <c r="F265" s="543"/>
      <c r="G265" s="36"/>
      <c r="H265" s="554">
        <f>IF(Consolidado_Geral!$G$133=7.6%,-(0.0165+0.076)*F265,0)</f>
        <v>0</v>
      </c>
      <c r="I265" s="36"/>
      <c r="J265" s="548"/>
      <c r="K265" s="549"/>
      <c r="L265" s="496"/>
      <c r="M265" s="557">
        <f t="shared" si="10"/>
        <v>0</v>
      </c>
      <c r="N265" s="556"/>
      <c r="O265" s="557">
        <f t="shared" si="9"/>
        <v>0</v>
      </c>
      <c r="Q265" s="552"/>
      <c r="S265" s="557">
        <f t="shared" si="11"/>
        <v>0</v>
      </c>
    </row>
    <row r="266" spans="2:19" hidden="1">
      <c r="B266" s="511">
        <v>254</v>
      </c>
      <c r="C266" s="540"/>
      <c r="D266" s="541"/>
      <c r="E266" s="542"/>
      <c r="F266" s="543"/>
      <c r="G266" s="36"/>
      <c r="H266" s="554">
        <f>IF(Consolidado_Geral!$G$133=7.6%,-(0.0165+0.076)*F266,0)</f>
        <v>0</v>
      </c>
      <c r="I266" s="36"/>
      <c r="J266" s="548"/>
      <c r="K266" s="549"/>
      <c r="L266" s="496"/>
      <c r="M266" s="557">
        <f t="shared" si="10"/>
        <v>0</v>
      </c>
      <c r="N266" s="556"/>
      <c r="O266" s="557">
        <f t="shared" si="9"/>
        <v>0</v>
      </c>
      <c r="Q266" s="552"/>
      <c r="S266" s="557">
        <f t="shared" si="11"/>
        <v>0</v>
      </c>
    </row>
    <row r="267" spans="2:19" hidden="1">
      <c r="B267" s="511">
        <v>255</v>
      </c>
      <c r="C267" s="540"/>
      <c r="D267" s="541"/>
      <c r="E267" s="542"/>
      <c r="F267" s="543"/>
      <c r="G267" s="36"/>
      <c r="H267" s="554">
        <f>IF(Consolidado_Geral!$G$133=7.6%,-(0.0165+0.076)*F267,0)</f>
        <v>0</v>
      </c>
      <c r="I267" s="36"/>
      <c r="J267" s="548"/>
      <c r="K267" s="549"/>
      <c r="L267" s="496"/>
      <c r="M267" s="557">
        <f t="shared" si="10"/>
        <v>0</v>
      </c>
      <c r="N267" s="556"/>
      <c r="O267" s="557">
        <f t="shared" si="9"/>
        <v>0</v>
      </c>
      <c r="Q267" s="552"/>
      <c r="S267" s="557">
        <f t="shared" si="11"/>
        <v>0</v>
      </c>
    </row>
    <row r="268" spans="2:19" hidden="1">
      <c r="B268" s="511">
        <v>256</v>
      </c>
      <c r="C268" s="540"/>
      <c r="D268" s="541"/>
      <c r="E268" s="542"/>
      <c r="F268" s="543"/>
      <c r="G268" s="36"/>
      <c r="H268" s="554">
        <f>IF(Consolidado_Geral!$G$133=7.6%,-(0.0165+0.076)*F268,0)</f>
        <v>0</v>
      </c>
      <c r="I268" s="36"/>
      <c r="J268" s="548"/>
      <c r="K268" s="549"/>
      <c r="L268" s="496"/>
      <c r="M268" s="557">
        <f t="shared" si="10"/>
        <v>0</v>
      </c>
      <c r="N268" s="556"/>
      <c r="O268" s="557">
        <f t="shared" si="9"/>
        <v>0</v>
      </c>
      <c r="Q268" s="552"/>
      <c r="S268" s="557">
        <f t="shared" si="11"/>
        <v>0</v>
      </c>
    </row>
    <row r="269" spans="2:19" hidden="1">
      <c r="B269" s="511">
        <v>257</v>
      </c>
      <c r="C269" s="540"/>
      <c r="D269" s="541"/>
      <c r="E269" s="542"/>
      <c r="F269" s="543"/>
      <c r="G269" s="36"/>
      <c r="H269" s="554">
        <f>IF(Consolidado_Geral!$G$133=7.6%,-(0.0165+0.076)*F269,0)</f>
        <v>0</v>
      </c>
      <c r="I269" s="36"/>
      <c r="J269" s="548"/>
      <c r="K269" s="549"/>
      <c r="L269" s="496"/>
      <c r="M269" s="557">
        <f t="shared" si="10"/>
        <v>0</v>
      </c>
      <c r="N269" s="556"/>
      <c r="O269" s="557">
        <f t="shared" ref="O269:O332" si="12">IF(E269=0,0,(M269/K269)*E269)</f>
        <v>0</v>
      </c>
      <c r="Q269" s="552"/>
      <c r="S269" s="557">
        <f t="shared" si="11"/>
        <v>0</v>
      </c>
    </row>
    <row r="270" spans="2:19" hidden="1">
      <c r="B270" s="511">
        <v>258</v>
      </c>
      <c r="C270" s="540"/>
      <c r="D270" s="541"/>
      <c r="E270" s="542"/>
      <c r="F270" s="543"/>
      <c r="G270" s="36"/>
      <c r="H270" s="554">
        <f>IF(Consolidado_Geral!$G$133=7.6%,-(0.0165+0.076)*F270,0)</f>
        <v>0</v>
      </c>
      <c r="I270" s="36"/>
      <c r="J270" s="548"/>
      <c r="K270" s="549"/>
      <c r="L270" s="496"/>
      <c r="M270" s="557">
        <f t="shared" ref="M270:M333" si="13">IF(E270&gt;0,(F270+H270)-J270,0)</f>
        <v>0</v>
      </c>
      <c r="N270" s="556"/>
      <c r="O270" s="557">
        <f t="shared" si="12"/>
        <v>0</v>
      </c>
      <c r="Q270" s="552"/>
      <c r="S270" s="557">
        <f t="shared" ref="S270:S333" si="14">E270*(M270*Q270)</f>
        <v>0</v>
      </c>
    </row>
    <row r="271" spans="2:19" hidden="1">
      <c r="B271" s="511">
        <v>259</v>
      </c>
      <c r="C271" s="540"/>
      <c r="D271" s="541"/>
      <c r="E271" s="542"/>
      <c r="F271" s="543"/>
      <c r="G271" s="36"/>
      <c r="H271" s="554">
        <f>IF(Consolidado_Geral!$G$133=7.6%,-(0.0165+0.076)*F271,0)</f>
        <v>0</v>
      </c>
      <c r="I271" s="36"/>
      <c r="J271" s="548"/>
      <c r="K271" s="549"/>
      <c r="L271" s="496"/>
      <c r="M271" s="557">
        <f t="shared" si="13"/>
        <v>0</v>
      </c>
      <c r="N271" s="556"/>
      <c r="O271" s="557">
        <f t="shared" si="12"/>
        <v>0</v>
      </c>
      <c r="Q271" s="552"/>
      <c r="S271" s="557">
        <f t="shared" si="14"/>
        <v>0</v>
      </c>
    </row>
    <row r="272" spans="2:19" hidden="1">
      <c r="B272" s="511">
        <v>260</v>
      </c>
      <c r="C272" s="540"/>
      <c r="D272" s="541"/>
      <c r="E272" s="542"/>
      <c r="F272" s="543"/>
      <c r="G272" s="36"/>
      <c r="H272" s="554">
        <f>IF(Consolidado_Geral!$G$133=7.6%,-(0.0165+0.076)*F272,0)</f>
        <v>0</v>
      </c>
      <c r="I272" s="36"/>
      <c r="J272" s="548"/>
      <c r="K272" s="549"/>
      <c r="L272" s="496"/>
      <c r="M272" s="557">
        <f t="shared" si="13"/>
        <v>0</v>
      </c>
      <c r="N272" s="556"/>
      <c r="O272" s="557">
        <f t="shared" si="12"/>
        <v>0</v>
      </c>
      <c r="Q272" s="552"/>
      <c r="S272" s="557">
        <f t="shared" si="14"/>
        <v>0</v>
      </c>
    </row>
    <row r="273" spans="2:19" hidden="1">
      <c r="B273" s="511">
        <v>261</v>
      </c>
      <c r="C273" s="540"/>
      <c r="D273" s="541"/>
      <c r="E273" s="542"/>
      <c r="F273" s="543"/>
      <c r="G273" s="36"/>
      <c r="H273" s="554">
        <f>IF(Consolidado_Geral!$G$133=7.6%,-(0.0165+0.076)*F273,0)</f>
        <v>0</v>
      </c>
      <c r="I273" s="36"/>
      <c r="J273" s="548"/>
      <c r="K273" s="549"/>
      <c r="L273" s="496"/>
      <c r="M273" s="557">
        <f t="shared" si="13"/>
        <v>0</v>
      </c>
      <c r="N273" s="556"/>
      <c r="O273" s="557">
        <f t="shared" si="12"/>
        <v>0</v>
      </c>
      <c r="Q273" s="552"/>
      <c r="S273" s="557">
        <f t="shared" si="14"/>
        <v>0</v>
      </c>
    </row>
    <row r="274" spans="2:19" hidden="1">
      <c r="B274" s="511">
        <v>262</v>
      </c>
      <c r="C274" s="540"/>
      <c r="D274" s="541"/>
      <c r="E274" s="542"/>
      <c r="F274" s="543"/>
      <c r="G274" s="36"/>
      <c r="H274" s="554">
        <f>IF(Consolidado_Geral!$G$133=7.6%,-(0.0165+0.076)*F274,0)</f>
        <v>0</v>
      </c>
      <c r="I274" s="36"/>
      <c r="J274" s="548"/>
      <c r="K274" s="549"/>
      <c r="L274" s="496"/>
      <c r="M274" s="557">
        <f t="shared" si="13"/>
        <v>0</v>
      </c>
      <c r="N274" s="556"/>
      <c r="O274" s="557">
        <f t="shared" si="12"/>
        <v>0</v>
      </c>
      <c r="P274" s="496"/>
      <c r="Q274" s="552"/>
      <c r="R274" s="496"/>
      <c r="S274" s="557">
        <f t="shared" si="14"/>
        <v>0</v>
      </c>
    </row>
    <row r="275" spans="2:19" hidden="1">
      <c r="B275" s="511">
        <v>263</v>
      </c>
      <c r="C275" s="540"/>
      <c r="D275" s="541"/>
      <c r="E275" s="542"/>
      <c r="F275" s="543"/>
      <c r="G275" s="36"/>
      <c r="H275" s="554">
        <f>IF(Consolidado_Geral!$G$133=7.6%,-(0.0165+0.076)*F275,0)</f>
        <v>0</v>
      </c>
      <c r="I275" s="36"/>
      <c r="J275" s="548"/>
      <c r="K275" s="549"/>
      <c r="L275" s="496"/>
      <c r="M275" s="557">
        <f t="shared" si="13"/>
        <v>0</v>
      </c>
      <c r="N275" s="556"/>
      <c r="O275" s="557">
        <f t="shared" si="12"/>
        <v>0</v>
      </c>
      <c r="P275" s="496"/>
      <c r="Q275" s="552"/>
      <c r="R275" s="496"/>
      <c r="S275" s="557">
        <f t="shared" si="14"/>
        <v>0</v>
      </c>
    </row>
    <row r="276" spans="2:19" hidden="1">
      <c r="B276" s="511">
        <v>264</v>
      </c>
      <c r="C276" s="540"/>
      <c r="D276" s="541"/>
      <c r="E276" s="542"/>
      <c r="F276" s="543"/>
      <c r="G276" s="36"/>
      <c r="H276" s="554">
        <f>IF(Consolidado_Geral!$G$133=7.6%,-(0.0165+0.076)*F276,0)</f>
        <v>0</v>
      </c>
      <c r="I276" s="36"/>
      <c r="J276" s="548"/>
      <c r="K276" s="549"/>
      <c r="L276" s="496"/>
      <c r="M276" s="557">
        <f t="shared" si="13"/>
        <v>0</v>
      </c>
      <c r="N276" s="556"/>
      <c r="O276" s="557">
        <f t="shared" si="12"/>
        <v>0</v>
      </c>
      <c r="P276" s="496"/>
      <c r="Q276" s="552"/>
      <c r="R276" s="496"/>
      <c r="S276" s="557">
        <f t="shared" si="14"/>
        <v>0</v>
      </c>
    </row>
    <row r="277" spans="2:19" hidden="1">
      <c r="B277" s="511">
        <v>265</v>
      </c>
      <c r="C277" s="540"/>
      <c r="D277" s="541"/>
      <c r="E277" s="542"/>
      <c r="F277" s="543"/>
      <c r="G277" s="36"/>
      <c r="H277" s="554">
        <f>IF(Consolidado_Geral!$G$133=7.6%,-(0.0165+0.076)*F277,0)</f>
        <v>0</v>
      </c>
      <c r="I277" s="36"/>
      <c r="J277" s="548"/>
      <c r="K277" s="549"/>
      <c r="L277" s="496"/>
      <c r="M277" s="557">
        <f t="shared" si="13"/>
        <v>0</v>
      </c>
      <c r="N277" s="556"/>
      <c r="O277" s="557">
        <f t="shared" si="12"/>
        <v>0</v>
      </c>
      <c r="P277" s="496"/>
      <c r="Q277" s="552"/>
      <c r="R277" s="496"/>
      <c r="S277" s="557">
        <f t="shared" si="14"/>
        <v>0</v>
      </c>
    </row>
    <row r="278" spans="2:19" hidden="1">
      <c r="B278" s="511">
        <v>266</v>
      </c>
      <c r="C278" s="540"/>
      <c r="D278" s="541"/>
      <c r="E278" s="542"/>
      <c r="F278" s="543"/>
      <c r="G278" s="36"/>
      <c r="H278" s="554">
        <f>IF(Consolidado_Geral!$G$133=7.6%,-(0.0165+0.076)*F278,0)</f>
        <v>0</v>
      </c>
      <c r="I278" s="36"/>
      <c r="J278" s="548"/>
      <c r="K278" s="549"/>
      <c r="L278" s="496"/>
      <c r="M278" s="557">
        <f t="shared" si="13"/>
        <v>0</v>
      </c>
      <c r="N278" s="556"/>
      <c r="O278" s="557">
        <f t="shared" si="12"/>
        <v>0</v>
      </c>
      <c r="P278" s="496"/>
      <c r="Q278" s="552"/>
      <c r="R278" s="496"/>
      <c r="S278" s="557">
        <f t="shared" si="14"/>
        <v>0</v>
      </c>
    </row>
    <row r="279" spans="2:19" hidden="1">
      <c r="B279" s="511">
        <v>267</v>
      </c>
      <c r="C279" s="540"/>
      <c r="D279" s="541"/>
      <c r="E279" s="542"/>
      <c r="F279" s="543"/>
      <c r="G279" s="36"/>
      <c r="H279" s="554">
        <f>IF(Consolidado_Geral!$G$133=7.6%,-(0.0165+0.076)*F279,0)</f>
        <v>0</v>
      </c>
      <c r="I279" s="36"/>
      <c r="J279" s="548"/>
      <c r="K279" s="549"/>
      <c r="L279" s="496"/>
      <c r="M279" s="557">
        <f t="shared" si="13"/>
        <v>0</v>
      </c>
      <c r="N279" s="556"/>
      <c r="O279" s="557">
        <f t="shared" si="12"/>
        <v>0</v>
      </c>
      <c r="P279" s="496"/>
      <c r="Q279" s="552"/>
      <c r="R279" s="496"/>
      <c r="S279" s="557">
        <f t="shared" si="14"/>
        <v>0</v>
      </c>
    </row>
    <row r="280" spans="2:19" hidden="1">
      <c r="B280" s="511">
        <v>268</v>
      </c>
      <c r="C280" s="540"/>
      <c r="D280" s="541"/>
      <c r="E280" s="542"/>
      <c r="F280" s="543"/>
      <c r="G280" s="36"/>
      <c r="H280" s="554">
        <f>IF(Consolidado_Geral!$G$133=7.6%,-(0.0165+0.076)*F280,0)</f>
        <v>0</v>
      </c>
      <c r="I280" s="36"/>
      <c r="J280" s="548"/>
      <c r="K280" s="549"/>
      <c r="L280" s="496"/>
      <c r="M280" s="557">
        <f t="shared" si="13"/>
        <v>0</v>
      </c>
      <c r="N280" s="556"/>
      <c r="O280" s="557">
        <f t="shared" si="12"/>
        <v>0</v>
      </c>
      <c r="P280" s="496"/>
      <c r="Q280" s="552"/>
      <c r="R280" s="496"/>
      <c r="S280" s="557">
        <f t="shared" si="14"/>
        <v>0</v>
      </c>
    </row>
    <row r="281" spans="2:19" hidden="1">
      <c r="B281" s="511">
        <v>269</v>
      </c>
      <c r="C281" s="540"/>
      <c r="D281" s="541"/>
      <c r="E281" s="542"/>
      <c r="F281" s="543"/>
      <c r="G281" s="36"/>
      <c r="H281" s="554">
        <f>IF(Consolidado_Geral!$G$133=7.6%,-(0.0165+0.076)*F281,0)</f>
        <v>0</v>
      </c>
      <c r="I281" s="36"/>
      <c r="J281" s="548"/>
      <c r="K281" s="549"/>
      <c r="L281" s="496"/>
      <c r="M281" s="557">
        <f t="shared" si="13"/>
        <v>0</v>
      </c>
      <c r="N281" s="556"/>
      <c r="O281" s="557">
        <f t="shared" si="12"/>
        <v>0</v>
      </c>
      <c r="P281" s="496"/>
      <c r="Q281" s="552"/>
      <c r="R281" s="496"/>
      <c r="S281" s="557">
        <f t="shared" si="14"/>
        <v>0</v>
      </c>
    </row>
    <row r="282" spans="2:19" hidden="1">
      <c r="B282" s="511">
        <v>270</v>
      </c>
      <c r="C282" s="540"/>
      <c r="D282" s="541"/>
      <c r="E282" s="542"/>
      <c r="F282" s="543"/>
      <c r="G282" s="36"/>
      <c r="H282" s="554">
        <f>IF(Consolidado_Geral!$G$133=7.6%,-(0.0165+0.076)*F282,0)</f>
        <v>0</v>
      </c>
      <c r="I282" s="36"/>
      <c r="J282" s="548"/>
      <c r="K282" s="549"/>
      <c r="L282" s="496"/>
      <c r="M282" s="557">
        <f t="shared" si="13"/>
        <v>0</v>
      </c>
      <c r="N282" s="556"/>
      <c r="O282" s="557">
        <f t="shared" si="12"/>
        <v>0</v>
      </c>
      <c r="P282" s="496"/>
      <c r="Q282" s="552"/>
      <c r="R282" s="496"/>
      <c r="S282" s="557">
        <f t="shared" si="14"/>
        <v>0</v>
      </c>
    </row>
    <row r="283" spans="2:19" hidden="1">
      <c r="B283" s="511">
        <v>271</v>
      </c>
      <c r="C283" s="540"/>
      <c r="D283" s="541"/>
      <c r="E283" s="542"/>
      <c r="F283" s="543"/>
      <c r="G283" s="36"/>
      <c r="H283" s="554">
        <f>IF(Consolidado_Geral!$G$133=7.6%,-(0.0165+0.076)*F283,0)</f>
        <v>0</v>
      </c>
      <c r="I283" s="36"/>
      <c r="J283" s="548"/>
      <c r="K283" s="549"/>
      <c r="L283" s="496"/>
      <c r="M283" s="557">
        <f t="shared" si="13"/>
        <v>0</v>
      </c>
      <c r="N283" s="556"/>
      <c r="O283" s="557">
        <f t="shared" si="12"/>
        <v>0</v>
      </c>
      <c r="P283" s="496"/>
      <c r="Q283" s="552"/>
      <c r="R283" s="496"/>
      <c r="S283" s="557">
        <f t="shared" si="14"/>
        <v>0</v>
      </c>
    </row>
    <row r="284" spans="2:19" hidden="1">
      <c r="B284" s="511">
        <v>272</v>
      </c>
      <c r="C284" s="540"/>
      <c r="D284" s="541"/>
      <c r="E284" s="542"/>
      <c r="F284" s="543"/>
      <c r="G284" s="36"/>
      <c r="H284" s="554">
        <f>IF(Consolidado_Geral!$G$133=7.6%,-(0.0165+0.076)*F284,0)</f>
        <v>0</v>
      </c>
      <c r="I284" s="36"/>
      <c r="J284" s="548"/>
      <c r="K284" s="549"/>
      <c r="L284" s="496"/>
      <c r="M284" s="557">
        <f t="shared" si="13"/>
        <v>0</v>
      </c>
      <c r="N284" s="556"/>
      <c r="O284" s="557">
        <f t="shared" si="12"/>
        <v>0</v>
      </c>
      <c r="P284" s="496"/>
      <c r="Q284" s="552"/>
      <c r="R284" s="496"/>
      <c r="S284" s="557">
        <f t="shared" si="14"/>
        <v>0</v>
      </c>
    </row>
    <row r="285" spans="2:19" hidden="1">
      <c r="B285" s="511">
        <v>273</v>
      </c>
      <c r="C285" s="540"/>
      <c r="D285" s="541"/>
      <c r="E285" s="542"/>
      <c r="F285" s="543"/>
      <c r="G285" s="36"/>
      <c r="H285" s="554">
        <f>IF(Consolidado_Geral!$G$133=7.6%,-(0.0165+0.076)*F285,0)</f>
        <v>0</v>
      </c>
      <c r="I285" s="36"/>
      <c r="J285" s="548"/>
      <c r="K285" s="549"/>
      <c r="L285" s="496"/>
      <c r="M285" s="557">
        <f t="shared" si="13"/>
        <v>0</v>
      </c>
      <c r="N285" s="556"/>
      <c r="O285" s="557">
        <f t="shared" si="12"/>
        <v>0</v>
      </c>
      <c r="Q285" s="552"/>
      <c r="S285" s="557">
        <f t="shared" si="14"/>
        <v>0</v>
      </c>
    </row>
    <row r="286" spans="2:19" hidden="1">
      <c r="B286" s="511">
        <v>274</v>
      </c>
      <c r="C286" s="540"/>
      <c r="D286" s="541"/>
      <c r="E286" s="542"/>
      <c r="F286" s="543"/>
      <c r="G286" s="36"/>
      <c r="H286" s="554">
        <f>IF(Consolidado_Geral!$G$133=7.6%,-(0.0165+0.076)*F286,0)</f>
        <v>0</v>
      </c>
      <c r="I286" s="36"/>
      <c r="J286" s="548"/>
      <c r="K286" s="549"/>
      <c r="L286" s="496"/>
      <c r="M286" s="557">
        <f t="shared" si="13"/>
        <v>0</v>
      </c>
      <c r="N286" s="556"/>
      <c r="O286" s="557">
        <f t="shared" si="12"/>
        <v>0</v>
      </c>
      <c r="Q286" s="552"/>
      <c r="S286" s="557">
        <f t="shared" si="14"/>
        <v>0</v>
      </c>
    </row>
    <row r="287" spans="2:19" hidden="1">
      <c r="B287" s="511">
        <v>275</v>
      </c>
      <c r="C287" s="540"/>
      <c r="D287" s="541"/>
      <c r="E287" s="542"/>
      <c r="F287" s="543"/>
      <c r="G287" s="36"/>
      <c r="H287" s="554">
        <f>IF(Consolidado_Geral!$G$133=7.6%,-(0.0165+0.076)*F287,0)</f>
        <v>0</v>
      </c>
      <c r="I287" s="36"/>
      <c r="J287" s="548"/>
      <c r="K287" s="549"/>
      <c r="L287" s="496"/>
      <c r="M287" s="557">
        <f t="shared" si="13"/>
        <v>0</v>
      </c>
      <c r="N287" s="556"/>
      <c r="O287" s="557">
        <f t="shared" si="12"/>
        <v>0</v>
      </c>
      <c r="Q287" s="552"/>
      <c r="S287" s="557">
        <f t="shared" si="14"/>
        <v>0</v>
      </c>
    </row>
    <row r="288" spans="2:19" hidden="1">
      <c r="B288" s="511">
        <v>276</v>
      </c>
      <c r="C288" s="540"/>
      <c r="D288" s="541"/>
      <c r="E288" s="542"/>
      <c r="F288" s="543"/>
      <c r="G288" s="36"/>
      <c r="H288" s="554">
        <f>IF(Consolidado_Geral!$G$133=7.6%,-(0.0165+0.076)*F288,0)</f>
        <v>0</v>
      </c>
      <c r="I288" s="36"/>
      <c r="J288" s="548"/>
      <c r="K288" s="549"/>
      <c r="L288" s="496"/>
      <c r="M288" s="557">
        <f t="shared" si="13"/>
        <v>0</v>
      </c>
      <c r="N288" s="556"/>
      <c r="O288" s="557">
        <f t="shared" si="12"/>
        <v>0</v>
      </c>
      <c r="Q288" s="552"/>
      <c r="S288" s="557">
        <f t="shared" si="14"/>
        <v>0</v>
      </c>
    </row>
    <row r="289" spans="2:19" hidden="1">
      <c r="B289" s="511">
        <v>277</v>
      </c>
      <c r="C289" s="540"/>
      <c r="D289" s="541"/>
      <c r="E289" s="542"/>
      <c r="F289" s="543"/>
      <c r="G289" s="36"/>
      <c r="H289" s="554">
        <f>IF(Consolidado_Geral!$G$133=7.6%,-(0.0165+0.076)*F289,0)</f>
        <v>0</v>
      </c>
      <c r="I289" s="36"/>
      <c r="J289" s="548"/>
      <c r="K289" s="549"/>
      <c r="L289" s="496"/>
      <c r="M289" s="557">
        <f t="shared" si="13"/>
        <v>0</v>
      </c>
      <c r="N289" s="556"/>
      <c r="O289" s="557">
        <f t="shared" si="12"/>
        <v>0</v>
      </c>
      <c r="Q289" s="552"/>
      <c r="S289" s="557">
        <f t="shared" si="14"/>
        <v>0</v>
      </c>
    </row>
    <row r="290" spans="2:19" hidden="1">
      <c r="B290" s="511">
        <v>278</v>
      </c>
      <c r="C290" s="540"/>
      <c r="D290" s="541"/>
      <c r="E290" s="542"/>
      <c r="F290" s="543"/>
      <c r="G290" s="36"/>
      <c r="H290" s="554">
        <f>IF(Consolidado_Geral!$G$133=7.6%,-(0.0165+0.076)*F290,0)</f>
        <v>0</v>
      </c>
      <c r="I290" s="36"/>
      <c r="J290" s="548"/>
      <c r="K290" s="549"/>
      <c r="L290" s="496"/>
      <c r="M290" s="557">
        <f t="shared" si="13"/>
        <v>0</v>
      </c>
      <c r="N290" s="556"/>
      <c r="O290" s="557">
        <f t="shared" si="12"/>
        <v>0</v>
      </c>
      <c r="Q290" s="552"/>
      <c r="S290" s="557">
        <f t="shared" si="14"/>
        <v>0</v>
      </c>
    </row>
    <row r="291" spans="2:19" hidden="1">
      <c r="B291" s="511">
        <v>279</v>
      </c>
      <c r="C291" s="540"/>
      <c r="D291" s="541"/>
      <c r="E291" s="542"/>
      <c r="F291" s="543"/>
      <c r="G291" s="36"/>
      <c r="H291" s="554">
        <f>IF(Consolidado_Geral!$G$133=7.6%,-(0.0165+0.076)*F291,0)</f>
        <v>0</v>
      </c>
      <c r="I291" s="36"/>
      <c r="J291" s="548"/>
      <c r="K291" s="549"/>
      <c r="L291" s="496"/>
      <c r="M291" s="557">
        <f t="shared" si="13"/>
        <v>0</v>
      </c>
      <c r="N291" s="556"/>
      <c r="O291" s="557">
        <f t="shared" si="12"/>
        <v>0</v>
      </c>
      <c r="Q291" s="552"/>
      <c r="S291" s="557">
        <f t="shared" si="14"/>
        <v>0</v>
      </c>
    </row>
    <row r="292" spans="2:19" hidden="1">
      <c r="B292" s="511">
        <v>280</v>
      </c>
      <c r="C292" s="540"/>
      <c r="D292" s="541"/>
      <c r="E292" s="542"/>
      <c r="F292" s="543"/>
      <c r="G292" s="36"/>
      <c r="H292" s="554">
        <f>IF(Consolidado_Geral!$G$133=7.6%,-(0.0165+0.076)*F292,0)</f>
        <v>0</v>
      </c>
      <c r="I292" s="36"/>
      <c r="J292" s="548"/>
      <c r="K292" s="549"/>
      <c r="L292" s="496"/>
      <c r="M292" s="557">
        <f t="shared" si="13"/>
        <v>0</v>
      </c>
      <c r="N292" s="556"/>
      <c r="O292" s="557">
        <f t="shared" si="12"/>
        <v>0</v>
      </c>
      <c r="Q292" s="552"/>
      <c r="S292" s="557">
        <f t="shared" si="14"/>
        <v>0</v>
      </c>
    </row>
    <row r="293" spans="2:19" hidden="1">
      <c r="B293" s="511">
        <v>281</v>
      </c>
      <c r="C293" s="540"/>
      <c r="D293" s="541"/>
      <c r="E293" s="542"/>
      <c r="F293" s="543"/>
      <c r="G293" s="36"/>
      <c r="H293" s="554">
        <f>IF(Consolidado_Geral!$G$133=7.6%,-(0.0165+0.076)*F293,0)</f>
        <v>0</v>
      </c>
      <c r="I293" s="36"/>
      <c r="J293" s="548"/>
      <c r="K293" s="549"/>
      <c r="L293" s="496"/>
      <c r="M293" s="557">
        <f t="shared" si="13"/>
        <v>0</v>
      </c>
      <c r="N293" s="556"/>
      <c r="O293" s="557">
        <f t="shared" si="12"/>
        <v>0</v>
      </c>
      <c r="Q293" s="552"/>
      <c r="S293" s="557">
        <f t="shared" si="14"/>
        <v>0</v>
      </c>
    </row>
    <row r="294" spans="2:19" hidden="1">
      <c r="B294" s="511">
        <v>282</v>
      </c>
      <c r="C294" s="540"/>
      <c r="D294" s="541"/>
      <c r="E294" s="542"/>
      <c r="F294" s="543"/>
      <c r="G294" s="36"/>
      <c r="H294" s="554">
        <f>IF(Consolidado_Geral!$G$133=7.6%,-(0.0165+0.076)*F294,0)</f>
        <v>0</v>
      </c>
      <c r="I294" s="36"/>
      <c r="J294" s="548"/>
      <c r="K294" s="549"/>
      <c r="L294" s="496"/>
      <c r="M294" s="557">
        <f t="shared" si="13"/>
        <v>0</v>
      </c>
      <c r="N294" s="556"/>
      <c r="O294" s="557">
        <f t="shared" si="12"/>
        <v>0</v>
      </c>
      <c r="Q294" s="552"/>
      <c r="S294" s="557">
        <f t="shared" si="14"/>
        <v>0</v>
      </c>
    </row>
    <row r="295" spans="2:19" hidden="1">
      <c r="B295" s="511">
        <v>283</v>
      </c>
      <c r="C295" s="540"/>
      <c r="D295" s="541"/>
      <c r="E295" s="542"/>
      <c r="F295" s="543"/>
      <c r="G295" s="36"/>
      <c r="H295" s="554">
        <f>IF(Consolidado_Geral!$G$133=7.6%,-(0.0165+0.076)*F295,0)</f>
        <v>0</v>
      </c>
      <c r="I295" s="36"/>
      <c r="J295" s="548"/>
      <c r="K295" s="549"/>
      <c r="L295" s="496"/>
      <c r="M295" s="557">
        <f t="shared" si="13"/>
        <v>0</v>
      </c>
      <c r="N295" s="556"/>
      <c r="O295" s="557">
        <f t="shared" si="12"/>
        <v>0</v>
      </c>
      <c r="Q295" s="552"/>
      <c r="S295" s="557">
        <f t="shared" si="14"/>
        <v>0</v>
      </c>
    </row>
    <row r="296" spans="2:19" hidden="1">
      <c r="B296" s="511">
        <v>284</v>
      </c>
      <c r="C296" s="540"/>
      <c r="D296" s="541"/>
      <c r="E296" s="542"/>
      <c r="F296" s="543"/>
      <c r="G296" s="36"/>
      <c r="H296" s="554">
        <f>IF(Consolidado_Geral!$G$133=7.6%,-(0.0165+0.076)*F296,0)</f>
        <v>0</v>
      </c>
      <c r="I296" s="36"/>
      <c r="J296" s="548"/>
      <c r="K296" s="549"/>
      <c r="L296" s="496"/>
      <c r="M296" s="557">
        <f t="shared" si="13"/>
        <v>0</v>
      </c>
      <c r="N296" s="556"/>
      <c r="O296" s="557">
        <f t="shared" si="12"/>
        <v>0</v>
      </c>
      <c r="Q296" s="552"/>
      <c r="S296" s="557">
        <f t="shared" si="14"/>
        <v>0</v>
      </c>
    </row>
    <row r="297" spans="2:19" hidden="1">
      <c r="B297" s="511">
        <v>285</v>
      </c>
      <c r="C297" s="540"/>
      <c r="D297" s="541"/>
      <c r="E297" s="542"/>
      <c r="F297" s="543"/>
      <c r="G297" s="36"/>
      <c r="H297" s="554">
        <f>IF(Consolidado_Geral!$G$133=7.6%,-(0.0165+0.076)*F297,0)</f>
        <v>0</v>
      </c>
      <c r="I297" s="36"/>
      <c r="J297" s="548"/>
      <c r="K297" s="549"/>
      <c r="L297" s="496"/>
      <c r="M297" s="557">
        <f t="shared" si="13"/>
        <v>0</v>
      </c>
      <c r="N297" s="556"/>
      <c r="O297" s="557">
        <f t="shared" si="12"/>
        <v>0</v>
      </c>
      <c r="Q297" s="552"/>
      <c r="S297" s="557">
        <f t="shared" si="14"/>
        <v>0</v>
      </c>
    </row>
    <row r="298" spans="2:19" hidden="1">
      <c r="B298" s="511">
        <v>286</v>
      </c>
      <c r="C298" s="540"/>
      <c r="D298" s="541"/>
      <c r="E298" s="542"/>
      <c r="F298" s="543"/>
      <c r="G298" s="36"/>
      <c r="H298" s="554">
        <f>IF(Consolidado_Geral!$G$133=7.6%,-(0.0165+0.076)*F298,0)</f>
        <v>0</v>
      </c>
      <c r="I298" s="36"/>
      <c r="J298" s="548"/>
      <c r="K298" s="549"/>
      <c r="L298" s="496"/>
      <c r="M298" s="557">
        <f t="shared" si="13"/>
        <v>0</v>
      </c>
      <c r="N298" s="556"/>
      <c r="O298" s="557">
        <f t="shared" si="12"/>
        <v>0</v>
      </c>
      <c r="Q298" s="552"/>
      <c r="S298" s="557">
        <f t="shared" si="14"/>
        <v>0</v>
      </c>
    </row>
    <row r="299" spans="2:19" hidden="1">
      <c r="B299" s="511">
        <v>287</v>
      </c>
      <c r="C299" s="540"/>
      <c r="D299" s="541"/>
      <c r="E299" s="542"/>
      <c r="F299" s="543"/>
      <c r="G299" s="36"/>
      <c r="H299" s="554">
        <f>IF(Consolidado_Geral!$G$133=7.6%,-(0.0165+0.076)*F299,0)</f>
        <v>0</v>
      </c>
      <c r="I299" s="36"/>
      <c r="J299" s="548"/>
      <c r="K299" s="549"/>
      <c r="L299" s="496"/>
      <c r="M299" s="557">
        <f t="shared" si="13"/>
        <v>0</v>
      </c>
      <c r="N299" s="556"/>
      <c r="O299" s="557">
        <f t="shared" si="12"/>
        <v>0</v>
      </c>
      <c r="Q299" s="552"/>
      <c r="S299" s="557">
        <f t="shared" si="14"/>
        <v>0</v>
      </c>
    </row>
    <row r="300" spans="2:19" hidden="1">
      <c r="B300" s="511">
        <v>288</v>
      </c>
      <c r="C300" s="540"/>
      <c r="D300" s="541"/>
      <c r="E300" s="542"/>
      <c r="F300" s="543"/>
      <c r="G300" s="36"/>
      <c r="H300" s="554">
        <f>IF(Consolidado_Geral!$G$133=7.6%,-(0.0165+0.076)*F300,0)</f>
        <v>0</v>
      </c>
      <c r="I300" s="36"/>
      <c r="J300" s="548"/>
      <c r="K300" s="549"/>
      <c r="L300" s="496"/>
      <c r="M300" s="557">
        <f t="shared" si="13"/>
        <v>0</v>
      </c>
      <c r="N300" s="556"/>
      <c r="O300" s="557">
        <f t="shared" si="12"/>
        <v>0</v>
      </c>
      <c r="Q300" s="552"/>
      <c r="S300" s="557">
        <f t="shared" si="14"/>
        <v>0</v>
      </c>
    </row>
    <row r="301" spans="2:19" hidden="1">
      <c r="B301" s="511">
        <v>289</v>
      </c>
      <c r="C301" s="540"/>
      <c r="D301" s="541"/>
      <c r="E301" s="542"/>
      <c r="F301" s="543"/>
      <c r="G301" s="36"/>
      <c r="H301" s="554">
        <f>IF(Consolidado_Geral!$G$133=7.6%,-(0.0165+0.076)*F301,0)</f>
        <v>0</v>
      </c>
      <c r="I301" s="36"/>
      <c r="J301" s="548"/>
      <c r="K301" s="549"/>
      <c r="L301" s="496"/>
      <c r="M301" s="557">
        <f t="shared" si="13"/>
        <v>0</v>
      </c>
      <c r="N301" s="556"/>
      <c r="O301" s="557">
        <f t="shared" si="12"/>
        <v>0</v>
      </c>
      <c r="Q301" s="552"/>
      <c r="S301" s="557">
        <f t="shared" si="14"/>
        <v>0</v>
      </c>
    </row>
    <row r="302" spans="2:19" hidden="1">
      <c r="B302" s="511">
        <v>290</v>
      </c>
      <c r="C302" s="540"/>
      <c r="D302" s="541"/>
      <c r="E302" s="542"/>
      <c r="F302" s="543"/>
      <c r="G302" s="36"/>
      <c r="H302" s="554">
        <f>IF(Consolidado_Geral!$G$133=7.6%,-(0.0165+0.076)*F302,0)</f>
        <v>0</v>
      </c>
      <c r="I302" s="36"/>
      <c r="J302" s="548"/>
      <c r="K302" s="549"/>
      <c r="L302" s="496"/>
      <c r="M302" s="557">
        <f t="shared" si="13"/>
        <v>0</v>
      </c>
      <c r="N302" s="556"/>
      <c r="O302" s="557">
        <f t="shared" si="12"/>
        <v>0</v>
      </c>
      <c r="Q302" s="552"/>
      <c r="S302" s="557">
        <f t="shared" si="14"/>
        <v>0</v>
      </c>
    </row>
    <row r="303" spans="2:19" hidden="1">
      <c r="B303" s="511">
        <v>291</v>
      </c>
      <c r="C303" s="540"/>
      <c r="D303" s="541"/>
      <c r="E303" s="542"/>
      <c r="F303" s="543"/>
      <c r="G303" s="36"/>
      <c r="H303" s="554">
        <f>IF(Consolidado_Geral!$G$133=7.6%,-(0.0165+0.076)*F303,0)</f>
        <v>0</v>
      </c>
      <c r="I303" s="36"/>
      <c r="J303" s="548"/>
      <c r="K303" s="549"/>
      <c r="L303" s="496"/>
      <c r="M303" s="557">
        <f t="shared" si="13"/>
        <v>0</v>
      </c>
      <c r="N303" s="556"/>
      <c r="O303" s="557">
        <f t="shared" si="12"/>
        <v>0</v>
      </c>
      <c r="Q303" s="552"/>
      <c r="S303" s="557">
        <f t="shared" si="14"/>
        <v>0</v>
      </c>
    </row>
    <row r="304" spans="2:19" hidden="1">
      <c r="B304" s="511">
        <v>292</v>
      </c>
      <c r="C304" s="540"/>
      <c r="D304" s="541"/>
      <c r="E304" s="542"/>
      <c r="F304" s="543"/>
      <c r="G304" s="36"/>
      <c r="H304" s="554">
        <f>IF(Consolidado_Geral!$G$133=7.6%,-(0.0165+0.076)*F304,0)</f>
        <v>0</v>
      </c>
      <c r="I304" s="36"/>
      <c r="J304" s="548"/>
      <c r="K304" s="549"/>
      <c r="L304" s="496"/>
      <c r="M304" s="557">
        <f t="shared" si="13"/>
        <v>0</v>
      </c>
      <c r="N304" s="556"/>
      <c r="O304" s="557">
        <f t="shared" si="12"/>
        <v>0</v>
      </c>
      <c r="Q304" s="552"/>
      <c r="S304" s="557">
        <f t="shared" si="14"/>
        <v>0</v>
      </c>
    </row>
    <row r="305" spans="2:19" hidden="1">
      <c r="B305" s="511">
        <v>293</v>
      </c>
      <c r="C305" s="540"/>
      <c r="D305" s="541"/>
      <c r="E305" s="542"/>
      <c r="F305" s="543"/>
      <c r="G305" s="36"/>
      <c r="H305" s="554">
        <f>IF(Consolidado_Geral!$G$133=7.6%,-(0.0165+0.076)*F305,0)</f>
        <v>0</v>
      </c>
      <c r="I305" s="36"/>
      <c r="J305" s="548"/>
      <c r="K305" s="549"/>
      <c r="L305" s="496"/>
      <c r="M305" s="557">
        <f t="shared" si="13"/>
        <v>0</v>
      </c>
      <c r="N305" s="556"/>
      <c r="O305" s="557">
        <f t="shared" si="12"/>
        <v>0</v>
      </c>
      <c r="Q305" s="552"/>
      <c r="S305" s="557">
        <f t="shared" si="14"/>
        <v>0</v>
      </c>
    </row>
    <row r="306" spans="2:19" hidden="1">
      <c r="B306" s="511">
        <v>294</v>
      </c>
      <c r="C306" s="540"/>
      <c r="D306" s="541"/>
      <c r="E306" s="542"/>
      <c r="F306" s="543"/>
      <c r="G306" s="36"/>
      <c r="H306" s="554">
        <f>IF(Consolidado_Geral!$G$133=7.6%,-(0.0165+0.076)*F306,0)</f>
        <v>0</v>
      </c>
      <c r="I306" s="36"/>
      <c r="J306" s="548"/>
      <c r="K306" s="549"/>
      <c r="L306" s="496"/>
      <c r="M306" s="557">
        <f t="shared" si="13"/>
        <v>0</v>
      </c>
      <c r="N306" s="556"/>
      <c r="O306" s="557">
        <f t="shared" si="12"/>
        <v>0</v>
      </c>
      <c r="Q306" s="552"/>
      <c r="S306" s="557">
        <f t="shared" si="14"/>
        <v>0</v>
      </c>
    </row>
    <row r="307" spans="2:19" hidden="1">
      <c r="B307" s="511">
        <v>295</v>
      </c>
      <c r="C307" s="540"/>
      <c r="D307" s="541"/>
      <c r="E307" s="542"/>
      <c r="F307" s="543"/>
      <c r="G307" s="36"/>
      <c r="H307" s="554">
        <f>IF(Consolidado_Geral!$G$133=7.6%,-(0.0165+0.076)*F307,0)</f>
        <v>0</v>
      </c>
      <c r="I307" s="36"/>
      <c r="J307" s="548"/>
      <c r="K307" s="549"/>
      <c r="L307" s="496"/>
      <c r="M307" s="557">
        <f t="shared" si="13"/>
        <v>0</v>
      </c>
      <c r="N307" s="556"/>
      <c r="O307" s="557">
        <f t="shared" si="12"/>
        <v>0</v>
      </c>
      <c r="Q307" s="552"/>
      <c r="S307" s="557">
        <f t="shared" si="14"/>
        <v>0</v>
      </c>
    </row>
    <row r="308" spans="2:19" hidden="1">
      <c r="B308" s="511">
        <v>296</v>
      </c>
      <c r="C308" s="540"/>
      <c r="D308" s="541"/>
      <c r="E308" s="542"/>
      <c r="F308" s="543"/>
      <c r="G308" s="36"/>
      <c r="H308" s="554">
        <f>IF(Consolidado_Geral!$G$133=7.6%,-(0.0165+0.076)*F308,0)</f>
        <v>0</v>
      </c>
      <c r="I308" s="36"/>
      <c r="J308" s="548"/>
      <c r="K308" s="549"/>
      <c r="L308" s="496"/>
      <c r="M308" s="557">
        <f t="shared" si="13"/>
        <v>0</v>
      </c>
      <c r="N308" s="556"/>
      <c r="O308" s="557">
        <f t="shared" si="12"/>
        <v>0</v>
      </c>
      <c r="Q308" s="552"/>
      <c r="S308" s="557">
        <f t="shared" si="14"/>
        <v>0</v>
      </c>
    </row>
    <row r="309" spans="2:19" hidden="1">
      <c r="B309" s="511">
        <v>297</v>
      </c>
      <c r="C309" s="540"/>
      <c r="D309" s="541"/>
      <c r="E309" s="542"/>
      <c r="F309" s="543"/>
      <c r="G309" s="36"/>
      <c r="H309" s="554">
        <f>IF(Consolidado_Geral!$G$133=7.6%,-(0.0165+0.076)*F309,0)</f>
        <v>0</v>
      </c>
      <c r="I309" s="36"/>
      <c r="J309" s="548"/>
      <c r="K309" s="549"/>
      <c r="L309" s="496"/>
      <c r="M309" s="557">
        <f t="shared" si="13"/>
        <v>0</v>
      </c>
      <c r="N309" s="556"/>
      <c r="O309" s="557">
        <f t="shared" si="12"/>
        <v>0</v>
      </c>
      <c r="Q309" s="552"/>
      <c r="S309" s="557">
        <f t="shared" si="14"/>
        <v>0</v>
      </c>
    </row>
    <row r="310" spans="2:19" hidden="1">
      <c r="B310" s="511">
        <v>298</v>
      </c>
      <c r="C310" s="540"/>
      <c r="D310" s="541"/>
      <c r="E310" s="542"/>
      <c r="F310" s="543"/>
      <c r="G310" s="36"/>
      <c r="H310" s="554">
        <f>IF(Consolidado_Geral!$G$133=7.6%,-(0.0165+0.076)*F310,0)</f>
        <v>0</v>
      </c>
      <c r="I310" s="36"/>
      <c r="J310" s="548"/>
      <c r="K310" s="549"/>
      <c r="L310" s="496"/>
      <c r="M310" s="557">
        <f t="shared" si="13"/>
        <v>0</v>
      </c>
      <c r="N310" s="556"/>
      <c r="O310" s="557">
        <f t="shared" si="12"/>
        <v>0</v>
      </c>
      <c r="P310" s="496"/>
      <c r="Q310" s="552"/>
      <c r="R310" s="496"/>
      <c r="S310" s="557">
        <f t="shared" si="14"/>
        <v>0</v>
      </c>
    </row>
    <row r="311" spans="2:19" hidden="1">
      <c r="B311" s="511">
        <v>299</v>
      </c>
      <c r="C311" s="540"/>
      <c r="D311" s="541"/>
      <c r="E311" s="542"/>
      <c r="F311" s="543"/>
      <c r="G311" s="36"/>
      <c r="H311" s="554">
        <f>IF(Consolidado_Geral!$G$133=7.6%,-(0.0165+0.076)*F311,0)</f>
        <v>0</v>
      </c>
      <c r="I311" s="36"/>
      <c r="J311" s="548"/>
      <c r="K311" s="549"/>
      <c r="L311" s="496"/>
      <c r="M311" s="557">
        <f t="shared" si="13"/>
        <v>0</v>
      </c>
      <c r="N311" s="556"/>
      <c r="O311" s="557">
        <f t="shared" si="12"/>
        <v>0</v>
      </c>
      <c r="P311" s="496"/>
      <c r="Q311" s="552"/>
      <c r="R311" s="496"/>
      <c r="S311" s="557">
        <f t="shared" si="14"/>
        <v>0</v>
      </c>
    </row>
    <row r="312" spans="2:19" hidden="1">
      <c r="B312" s="511">
        <v>300</v>
      </c>
      <c r="C312" s="540"/>
      <c r="D312" s="541"/>
      <c r="E312" s="542"/>
      <c r="F312" s="543"/>
      <c r="G312" s="36"/>
      <c r="H312" s="554">
        <f>IF(Consolidado_Geral!$G$133=7.6%,-(0.0165+0.076)*F312,0)</f>
        <v>0</v>
      </c>
      <c r="I312" s="36"/>
      <c r="J312" s="548"/>
      <c r="K312" s="549"/>
      <c r="L312" s="496"/>
      <c r="M312" s="557">
        <f t="shared" si="13"/>
        <v>0</v>
      </c>
      <c r="N312" s="556"/>
      <c r="O312" s="557">
        <f t="shared" si="12"/>
        <v>0</v>
      </c>
      <c r="P312" s="496"/>
      <c r="Q312" s="552"/>
      <c r="R312" s="496"/>
      <c r="S312" s="557">
        <f t="shared" si="14"/>
        <v>0</v>
      </c>
    </row>
    <row r="313" spans="2:19" hidden="1">
      <c r="B313" s="511">
        <v>301</v>
      </c>
      <c r="C313" s="540"/>
      <c r="D313" s="541"/>
      <c r="E313" s="542"/>
      <c r="F313" s="543"/>
      <c r="G313" s="36"/>
      <c r="H313" s="554">
        <f>IF(Consolidado_Geral!$G$133=7.6%,-(0.0165+0.076)*F313,0)</f>
        <v>0</v>
      </c>
      <c r="I313" s="36"/>
      <c r="J313" s="548"/>
      <c r="K313" s="549"/>
      <c r="L313" s="496"/>
      <c r="M313" s="557">
        <f t="shared" si="13"/>
        <v>0</v>
      </c>
      <c r="N313" s="556"/>
      <c r="O313" s="557">
        <f t="shared" si="12"/>
        <v>0</v>
      </c>
      <c r="P313" s="496"/>
      <c r="Q313" s="552"/>
      <c r="R313" s="496"/>
      <c r="S313" s="557">
        <f t="shared" si="14"/>
        <v>0</v>
      </c>
    </row>
    <row r="314" spans="2:19" hidden="1">
      <c r="B314" s="511">
        <v>302</v>
      </c>
      <c r="C314" s="540"/>
      <c r="D314" s="541"/>
      <c r="E314" s="542"/>
      <c r="F314" s="543"/>
      <c r="G314" s="36"/>
      <c r="H314" s="554">
        <f>IF(Consolidado_Geral!$G$133=7.6%,-(0.0165+0.076)*F314,0)</f>
        <v>0</v>
      </c>
      <c r="I314" s="36"/>
      <c r="J314" s="548"/>
      <c r="K314" s="549"/>
      <c r="L314" s="496"/>
      <c r="M314" s="557">
        <f t="shared" si="13"/>
        <v>0</v>
      </c>
      <c r="N314" s="556"/>
      <c r="O314" s="557">
        <f t="shared" si="12"/>
        <v>0</v>
      </c>
      <c r="P314" s="496"/>
      <c r="Q314" s="552"/>
      <c r="R314" s="496"/>
      <c r="S314" s="557">
        <f t="shared" si="14"/>
        <v>0</v>
      </c>
    </row>
    <row r="315" spans="2:19" hidden="1">
      <c r="B315" s="511">
        <v>303</v>
      </c>
      <c r="C315" s="540"/>
      <c r="D315" s="541"/>
      <c r="E315" s="542"/>
      <c r="F315" s="543"/>
      <c r="G315" s="36"/>
      <c r="H315" s="554">
        <f>IF(Consolidado_Geral!$G$133=7.6%,-(0.0165+0.076)*F315,0)</f>
        <v>0</v>
      </c>
      <c r="I315" s="36"/>
      <c r="J315" s="548"/>
      <c r="K315" s="549"/>
      <c r="L315" s="496"/>
      <c r="M315" s="557">
        <f t="shared" si="13"/>
        <v>0</v>
      </c>
      <c r="N315" s="556"/>
      <c r="O315" s="557">
        <f t="shared" si="12"/>
        <v>0</v>
      </c>
      <c r="P315" s="496"/>
      <c r="Q315" s="552"/>
      <c r="R315" s="496"/>
      <c r="S315" s="557">
        <f t="shared" si="14"/>
        <v>0</v>
      </c>
    </row>
    <row r="316" spans="2:19" hidden="1">
      <c r="B316" s="511">
        <v>304</v>
      </c>
      <c r="C316" s="540"/>
      <c r="D316" s="541"/>
      <c r="E316" s="542"/>
      <c r="F316" s="543"/>
      <c r="G316" s="36"/>
      <c r="H316" s="554">
        <f>IF(Consolidado_Geral!$G$133=7.6%,-(0.0165+0.076)*F316,0)</f>
        <v>0</v>
      </c>
      <c r="I316" s="36"/>
      <c r="J316" s="548"/>
      <c r="K316" s="549"/>
      <c r="L316" s="496"/>
      <c r="M316" s="557">
        <f t="shared" si="13"/>
        <v>0</v>
      </c>
      <c r="N316" s="556"/>
      <c r="O316" s="557">
        <f t="shared" si="12"/>
        <v>0</v>
      </c>
      <c r="P316" s="496"/>
      <c r="Q316" s="552"/>
      <c r="R316" s="496"/>
      <c r="S316" s="557">
        <f t="shared" si="14"/>
        <v>0</v>
      </c>
    </row>
    <row r="317" spans="2:19" hidden="1">
      <c r="B317" s="511">
        <v>305</v>
      </c>
      <c r="C317" s="540"/>
      <c r="D317" s="541"/>
      <c r="E317" s="542"/>
      <c r="F317" s="543"/>
      <c r="G317" s="36"/>
      <c r="H317" s="554">
        <f>IF(Consolidado_Geral!$G$133=7.6%,-(0.0165+0.076)*F317,0)</f>
        <v>0</v>
      </c>
      <c r="I317" s="36"/>
      <c r="J317" s="548"/>
      <c r="K317" s="549"/>
      <c r="L317" s="496"/>
      <c r="M317" s="557">
        <f t="shared" si="13"/>
        <v>0</v>
      </c>
      <c r="N317" s="556"/>
      <c r="O317" s="557">
        <f t="shared" si="12"/>
        <v>0</v>
      </c>
      <c r="P317" s="496"/>
      <c r="Q317" s="552"/>
      <c r="R317" s="496"/>
      <c r="S317" s="557">
        <f t="shared" si="14"/>
        <v>0</v>
      </c>
    </row>
    <row r="318" spans="2:19" hidden="1">
      <c r="B318" s="511">
        <v>306</v>
      </c>
      <c r="C318" s="540"/>
      <c r="D318" s="541"/>
      <c r="E318" s="542"/>
      <c r="F318" s="543"/>
      <c r="G318" s="36"/>
      <c r="H318" s="554">
        <f>IF(Consolidado_Geral!$G$133=7.6%,-(0.0165+0.076)*F318,0)</f>
        <v>0</v>
      </c>
      <c r="I318" s="36"/>
      <c r="J318" s="548"/>
      <c r="K318" s="549"/>
      <c r="L318" s="496"/>
      <c r="M318" s="557">
        <f t="shared" si="13"/>
        <v>0</v>
      </c>
      <c r="N318" s="556"/>
      <c r="O318" s="557">
        <f t="shared" si="12"/>
        <v>0</v>
      </c>
      <c r="P318" s="496"/>
      <c r="Q318" s="552"/>
      <c r="R318" s="496"/>
      <c r="S318" s="557">
        <f t="shared" si="14"/>
        <v>0</v>
      </c>
    </row>
    <row r="319" spans="2:19" hidden="1">
      <c r="B319" s="511">
        <v>307</v>
      </c>
      <c r="C319" s="540"/>
      <c r="D319" s="541"/>
      <c r="E319" s="542"/>
      <c r="F319" s="543"/>
      <c r="G319" s="36"/>
      <c r="H319" s="554">
        <f>IF(Consolidado_Geral!$G$133=7.6%,-(0.0165+0.076)*F319,0)</f>
        <v>0</v>
      </c>
      <c r="I319" s="36"/>
      <c r="J319" s="548"/>
      <c r="K319" s="549"/>
      <c r="L319" s="496"/>
      <c r="M319" s="557">
        <f t="shared" si="13"/>
        <v>0</v>
      </c>
      <c r="N319" s="556"/>
      <c r="O319" s="557">
        <f t="shared" si="12"/>
        <v>0</v>
      </c>
      <c r="P319" s="496"/>
      <c r="Q319" s="552"/>
      <c r="R319" s="496"/>
      <c r="S319" s="557">
        <f t="shared" si="14"/>
        <v>0</v>
      </c>
    </row>
    <row r="320" spans="2:19" hidden="1">
      <c r="B320" s="511">
        <v>308</v>
      </c>
      <c r="C320" s="540"/>
      <c r="D320" s="541"/>
      <c r="E320" s="542"/>
      <c r="F320" s="543"/>
      <c r="G320" s="36"/>
      <c r="H320" s="554">
        <f>IF(Consolidado_Geral!$G$133=7.6%,-(0.0165+0.076)*F320,0)</f>
        <v>0</v>
      </c>
      <c r="I320" s="36"/>
      <c r="J320" s="548"/>
      <c r="K320" s="549"/>
      <c r="L320" s="496"/>
      <c r="M320" s="557">
        <f t="shared" si="13"/>
        <v>0</v>
      </c>
      <c r="N320" s="556"/>
      <c r="O320" s="557">
        <f t="shared" si="12"/>
        <v>0</v>
      </c>
      <c r="P320" s="496"/>
      <c r="Q320" s="552"/>
      <c r="R320" s="496"/>
      <c r="S320" s="557">
        <f t="shared" si="14"/>
        <v>0</v>
      </c>
    </row>
    <row r="321" spans="2:19" hidden="1">
      <c r="B321" s="511">
        <v>309</v>
      </c>
      <c r="C321" s="540"/>
      <c r="D321" s="541"/>
      <c r="E321" s="542"/>
      <c r="F321" s="543"/>
      <c r="G321" s="36"/>
      <c r="H321" s="554">
        <f>IF(Consolidado_Geral!$G$133=7.6%,-(0.0165+0.076)*F321,0)</f>
        <v>0</v>
      </c>
      <c r="I321" s="36"/>
      <c r="J321" s="548"/>
      <c r="K321" s="549"/>
      <c r="L321" s="496"/>
      <c r="M321" s="557">
        <f t="shared" si="13"/>
        <v>0</v>
      </c>
      <c r="N321" s="556"/>
      <c r="O321" s="557">
        <f t="shared" si="12"/>
        <v>0</v>
      </c>
      <c r="Q321" s="552"/>
      <c r="S321" s="557">
        <f t="shared" si="14"/>
        <v>0</v>
      </c>
    </row>
    <row r="322" spans="2:19" hidden="1">
      <c r="B322" s="511">
        <v>310</v>
      </c>
      <c r="C322" s="540"/>
      <c r="D322" s="541"/>
      <c r="E322" s="542"/>
      <c r="F322" s="543"/>
      <c r="G322" s="36"/>
      <c r="H322" s="554">
        <f>IF(Consolidado_Geral!$G$133=7.6%,-(0.0165+0.076)*F322,0)</f>
        <v>0</v>
      </c>
      <c r="I322" s="36"/>
      <c r="J322" s="548"/>
      <c r="K322" s="549"/>
      <c r="L322" s="496"/>
      <c r="M322" s="557">
        <f t="shared" si="13"/>
        <v>0</v>
      </c>
      <c r="N322" s="556"/>
      <c r="O322" s="557">
        <f t="shared" si="12"/>
        <v>0</v>
      </c>
      <c r="Q322" s="552"/>
      <c r="S322" s="557">
        <f t="shared" si="14"/>
        <v>0</v>
      </c>
    </row>
    <row r="323" spans="2:19" hidden="1">
      <c r="B323" s="511">
        <v>311</v>
      </c>
      <c r="C323" s="540"/>
      <c r="D323" s="541"/>
      <c r="E323" s="542"/>
      <c r="F323" s="543"/>
      <c r="G323" s="36"/>
      <c r="H323" s="554">
        <f>IF(Consolidado_Geral!$G$133=7.6%,-(0.0165+0.076)*F323,0)</f>
        <v>0</v>
      </c>
      <c r="I323" s="36"/>
      <c r="J323" s="548"/>
      <c r="K323" s="549"/>
      <c r="L323" s="496"/>
      <c r="M323" s="557">
        <f t="shared" si="13"/>
        <v>0</v>
      </c>
      <c r="N323" s="556"/>
      <c r="O323" s="557">
        <f t="shared" si="12"/>
        <v>0</v>
      </c>
      <c r="Q323" s="552"/>
      <c r="S323" s="557">
        <f t="shared" si="14"/>
        <v>0</v>
      </c>
    </row>
    <row r="324" spans="2:19" hidden="1">
      <c r="B324" s="511">
        <v>312</v>
      </c>
      <c r="C324" s="540"/>
      <c r="D324" s="541"/>
      <c r="E324" s="542"/>
      <c r="F324" s="543"/>
      <c r="G324" s="36"/>
      <c r="H324" s="554">
        <f>IF(Consolidado_Geral!$G$133=7.6%,-(0.0165+0.076)*F324,0)</f>
        <v>0</v>
      </c>
      <c r="I324" s="36"/>
      <c r="J324" s="548"/>
      <c r="K324" s="549"/>
      <c r="L324" s="496"/>
      <c r="M324" s="557">
        <f t="shared" si="13"/>
        <v>0</v>
      </c>
      <c r="N324" s="556"/>
      <c r="O324" s="557">
        <f t="shared" si="12"/>
        <v>0</v>
      </c>
      <c r="Q324" s="552"/>
      <c r="S324" s="557">
        <f t="shared" si="14"/>
        <v>0</v>
      </c>
    </row>
    <row r="325" spans="2:19" hidden="1">
      <c r="B325" s="511">
        <v>313</v>
      </c>
      <c r="C325" s="540"/>
      <c r="D325" s="541"/>
      <c r="E325" s="542"/>
      <c r="F325" s="543"/>
      <c r="G325" s="36"/>
      <c r="H325" s="554">
        <f>IF(Consolidado_Geral!$G$133=7.6%,-(0.0165+0.076)*F325,0)</f>
        <v>0</v>
      </c>
      <c r="I325" s="36"/>
      <c r="J325" s="548"/>
      <c r="K325" s="549"/>
      <c r="L325" s="496"/>
      <c r="M325" s="557">
        <f t="shared" si="13"/>
        <v>0</v>
      </c>
      <c r="N325" s="556"/>
      <c r="O325" s="557">
        <f t="shared" si="12"/>
        <v>0</v>
      </c>
      <c r="Q325" s="552"/>
      <c r="S325" s="557">
        <f t="shared" si="14"/>
        <v>0</v>
      </c>
    </row>
    <row r="326" spans="2:19" hidden="1">
      <c r="B326" s="511">
        <v>314</v>
      </c>
      <c r="C326" s="540"/>
      <c r="D326" s="541"/>
      <c r="E326" s="542"/>
      <c r="F326" s="543"/>
      <c r="G326" s="36"/>
      <c r="H326" s="554">
        <f>IF(Consolidado_Geral!$G$133=7.6%,-(0.0165+0.076)*F326,0)</f>
        <v>0</v>
      </c>
      <c r="I326" s="36"/>
      <c r="J326" s="548"/>
      <c r="K326" s="549"/>
      <c r="L326" s="496"/>
      <c r="M326" s="557">
        <f t="shared" si="13"/>
        <v>0</v>
      </c>
      <c r="N326" s="556"/>
      <c r="O326" s="557">
        <f t="shared" si="12"/>
        <v>0</v>
      </c>
      <c r="Q326" s="552"/>
      <c r="S326" s="557">
        <f t="shared" si="14"/>
        <v>0</v>
      </c>
    </row>
    <row r="327" spans="2:19" hidden="1">
      <c r="B327" s="511">
        <v>315</v>
      </c>
      <c r="C327" s="540"/>
      <c r="D327" s="541"/>
      <c r="E327" s="542"/>
      <c r="F327" s="543"/>
      <c r="G327" s="36"/>
      <c r="H327" s="554">
        <f>IF(Consolidado_Geral!$G$133=7.6%,-(0.0165+0.076)*F327,0)</f>
        <v>0</v>
      </c>
      <c r="I327" s="36"/>
      <c r="J327" s="548"/>
      <c r="K327" s="549"/>
      <c r="L327" s="496"/>
      <c r="M327" s="557">
        <f t="shared" si="13"/>
        <v>0</v>
      </c>
      <c r="N327" s="556"/>
      <c r="O327" s="557">
        <f t="shared" si="12"/>
        <v>0</v>
      </c>
      <c r="Q327" s="552"/>
      <c r="S327" s="557">
        <f t="shared" si="14"/>
        <v>0</v>
      </c>
    </row>
    <row r="328" spans="2:19" hidden="1">
      <c r="B328" s="511">
        <v>316</v>
      </c>
      <c r="C328" s="540"/>
      <c r="D328" s="541"/>
      <c r="E328" s="542"/>
      <c r="F328" s="543"/>
      <c r="G328" s="36"/>
      <c r="H328" s="554">
        <f>IF(Consolidado_Geral!$G$133=7.6%,-(0.0165+0.076)*F328,0)</f>
        <v>0</v>
      </c>
      <c r="I328" s="36"/>
      <c r="J328" s="548"/>
      <c r="K328" s="549"/>
      <c r="L328" s="496"/>
      <c r="M328" s="557">
        <f t="shared" si="13"/>
        <v>0</v>
      </c>
      <c r="N328" s="556"/>
      <c r="O328" s="557">
        <f t="shared" si="12"/>
        <v>0</v>
      </c>
      <c r="Q328" s="552"/>
      <c r="S328" s="557">
        <f t="shared" si="14"/>
        <v>0</v>
      </c>
    </row>
    <row r="329" spans="2:19" hidden="1">
      <c r="B329" s="511">
        <v>317</v>
      </c>
      <c r="C329" s="540"/>
      <c r="D329" s="541"/>
      <c r="E329" s="542"/>
      <c r="F329" s="543"/>
      <c r="G329" s="36"/>
      <c r="H329" s="554">
        <f>IF(Consolidado_Geral!$G$133=7.6%,-(0.0165+0.076)*F329,0)</f>
        <v>0</v>
      </c>
      <c r="I329" s="36"/>
      <c r="J329" s="548"/>
      <c r="K329" s="549"/>
      <c r="L329" s="496"/>
      <c r="M329" s="557">
        <f t="shared" si="13"/>
        <v>0</v>
      </c>
      <c r="N329" s="556"/>
      <c r="O329" s="557">
        <f t="shared" si="12"/>
        <v>0</v>
      </c>
      <c r="Q329" s="552"/>
      <c r="S329" s="557">
        <f t="shared" si="14"/>
        <v>0</v>
      </c>
    </row>
    <row r="330" spans="2:19" hidden="1">
      <c r="B330" s="511">
        <v>318</v>
      </c>
      <c r="C330" s="540"/>
      <c r="D330" s="541"/>
      <c r="E330" s="542"/>
      <c r="F330" s="543"/>
      <c r="G330" s="36"/>
      <c r="H330" s="554">
        <f>IF(Consolidado_Geral!$G$133=7.6%,-(0.0165+0.076)*F330,0)</f>
        <v>0</v>
      </c>
      <c r="I330" s="36"/>
      <c r="J330" s="548"/>
      <c r="K330" s="549"/>
      <c r="L330" s="496"/>
      <c r="M330" s="557">
        <f t="shared" si="13"/>
        <v>0</v>
      </c>
      <c r="N330" s="556"/>
      <c r="O330" s="557">
        <f t="shared" si="12"/>
        <v>0</v>
      </c>
      <c r="Q330" s="552"/>
      <c r="S330" s="557">
        <f t="shared" si="14"/>
        <v>0</v>
      </c>
    </row>
    <row r="331" spans="2:19" hidden="1">
      <c r="B331" s="511">
        <v>319</v>
      </c>
      <c r="C331" s="540"/>
      <c r="D331" s="541"/>
      <c r="E331" s="542"/>
      <c r="F331" s="543"/>
      <c r="G331" s="36"/>
      <c r="H331" s="554">
        <f>IF(Consolidado_Geral!$G$133=7.6%,-(0.0165+0.076)*F331,0)</f>
        <v>0</v>
      </c>
      <c r="I331" s="36"/>
      <c r="J331" s="548"/>
      <c r="K331" s="549"/>
      <c r="L331" s="496"/>
      <c r="M331" s="557">
        <f t="shared" si="13"/>
        <v>0</v>
      </c>
      <c r="N331" s="556"/>
      <c r="O331" s="557">
        <f t="shared" si="12"/>
        <v>0</v>
      </c>
      <c r="Q331" s="552"/>
      <c r="S331" s="557">
        <f t="shared" si="14"/>
        <v>0</v>
      </c>
    </row>
    <row r="332" spans="2:19" hidden="1">
      <c r="B332" s="511">
        <v>320</v>
      </c>
      <c r="C332" s="540"/>
      <c r="D332" s="541"/>
      <c r="E332" s="542"/>
      <c r="F332" s="543"/>
      <c r="G332" s="36"/>
      <c r="H332" s="554">
        <f>IF(Consolidado_Geral!$G$133=7.6%,-(0.0165+0.076)*F332,0)</f>
        <v>0</v>
      </c>
      <c r="I332" s="36"/>
      <c r="J332" s="548"/>
      <c r="K332" s="549"/>
      <c r="L332" s="496"/>
      <c r="M332" s="557">
        <f t="shared" si="13"/>
        <v>0</v>
      </c>
      <c r="N332" s="556"/>
      <c r="O332" s="557">
        <f t="shared" si="12"/>
        <v>0</v>
      </c>
      <c r="Q332" s="552"/>
      <c r="S332" s="557">
        <f t="shared" si="14"/>
        <v>0</v>
      </c>
    </row>
    <row r="333" spans="2:19" hidden="1">
      <c r="B333" s="511">
        <v>321</v>
      </c>
      <c r="C333" s="540"/>
      <c r="D333" s="541"/>
      <c r="E333" s="542"/>
      <c r="F333" s="543"/>
      <c r="G333" s="36"/>
      <c r="H333" s="554">
        <f>IF(Consolidado_Geral!$G$133=7.6%,-(0.0165+0.076)*F333,0)</f>
        <v>0</v>
      </c>
      <c r="I333" s="36"/>
      <c r="J333" s="548"/>
      <c r="K333" s="549"/>
      <c r="L333" s="496"/>
      <c r="M333" s="557">
        <f t="shared" si="13"/>
        <v>0</v>
      </c>
      <c r="N333" s="556"/>
      <c r="O333" s="557">
        <f t="shared" ref="O333:O396" si="15">IF(E333=0,0,(M333/K333)*E333)</f>
        <v>0</v>
      </c>
      <c r="Q333" s="552"/>
      <c r="S333" s="557">
        <f t="shared" si="14"/>
        <v>0</v>
      </c>
    </row>
    <row r="334" spans="2:19" hidden="1">
      <c r="B334" s="511">
        <v>322</v>
      </c>
      <c r="C334" s="540"/>
      <c r="D334" s="541"/>
      <c r="E334" s="542"/>
      <c r="F334" s="543"/>
      <c r="G334" s="36"/>
      <c r="H334" s="554">
        <f>IF(Consolidado_Geral!$G$133=7.6%,-(0.0165+0.076)*F334,0)</f>
        <v>0</v>
      </c>
      <c r="I334" s="36"/>
      <c r="J334" s="548"/>
      <c r="K334" s="549"/>
      <c r="L334" s="496"/>
      <c r="M334" s="557">
        <f t="shared" ref="M334:M397" si="16">IF(E334&gt;0,(F334+H334)-J334,0)</f>
        <v>0</v>
      </c>
      <c r="N334" s="556"/>
      <c r="O334" s="557">
        <f t="shared" si="15"/>
        <v>0</v>
      </c>
      <c r="P334" s="496"/>
      <c r="Q334" s="552"/>
      <c r="R334" s="496"/>
      <c r="S334" s="557">
        <f t="shared" ref="S334:S397" si="17">E334*(M334*Q334)</f>
        <v>0</v>
      </c>
    </row>
    <row r="335" spans="2:19" hidden="1">
      <c r="B335" s="511">
        <v>323</v>
      </c>
      <c r="C335" s="540"/>
      <c r="D335" s="541"/>
      <c r="E335" s="542"/>
      <c r="F335" s="543"/>
      <c r="G335" s="36"/>
      <c r="H335" s="554">
        <f>IF(Consolidado_Geral!$G$133=7.6%,-(0.0165+0.076)*F335,0)</f>
        <v>0</v>
      </c>
      <c r="I335" s="36"/>
      <c r="J335" s="548"/>
      <c r="K335" s="549"/>
      <c r="L335" s="496"/>
      <c r="M335" s="557">
        <f t="shared" si="16"/>
        <v>0</v>
      </c>
      <c r="N335" s="556"/>
      <c r="O335" s="557">
        <f t="shared" si="15"/>
        <v>0</v>
      </c>
      <c r="P335" s="496"/>
      <c r="Q335" s="552"/>
      <c r="R335" s="496"/>
      <c r="S335" s="557">
        <f t="shared" si="17"/>
        <v>0</v>
      </c>
    </row>
    <row r="336" spans="2:19" hidden="1">
      <c r="B336" s="511">
        <v>324</v>
      </c>
      <c r="C336" s="540"/>
      <c r="D336" s="541"/>
      <c r="E336" s="542"/>
      <c r="F336" s="543"/>
      <c r="G336" s="36"/>
      <c r="H336" s="554">
        <f>IF(Consolidado_Geral!$G$133=7.6%,-(0.0165+0.076)*F336,0)</f>
        <v>0</v>
      </c>
      <c r="I336" s="36"/>
      <c r="J336" s="548"/>
      <c r="K336" s="549"/>
      <c r="L336" s="496"/>
      <c r="M336" s="557">
        <f t="shared" si="16"/>
        <v>0</v>
      </c>
      <c r="N336" s="556"/>
      <c r="O336" s="557">
        <f t="shared" si="15"/>
        <v>0</v>
      </c>
      <c r="P336" s="496"/>
      <c r="Q336" s="552"/>
      <c r="R336" s="496"/>
      <c r="S336" s="557">
        <f t="shared" si="17"/>
        <v>0</v>
      </c>
    </row>
    <row r="337" spans="2:19" hidden="1">
      <c r="B337" s="511">
        <v>325</v>
      </c>
      <c r="C337" s="540"/>
      <c r="D337" s="541"/>
      <c r="E337" s="542"/>
      <c r="F337" s="543"/>
      <c r="G337" s="36"/>
      <c r="H337" s="554">
        <f>IF(Consolidado_Geral!$G$133=7.6%,-(0.0165+0.076)*F337,0)</f>
        <v>0</v>
      </c>
      <c r="I337" s="36"/>
      <c r="J337" s="548"/>
      <c r="K337" s="549"/>
      <c r="L337" s="496"/>
      <c r="M337" s="557">
        <f t="shared" si="16"/>
        <v>0</v>
      </c>
      <c r="N337" s="556"/>
      <c r="O337" s="557">
        <f t="shared" si="15"/>
        <v>0</v>
      </c>
      <c r="P337" s="496"/>
      <c r="Q337" s="552"/>
      <c r="R337" s="496"/>
      <c r="S337" s="557">
        <f t="shared" si="17"/>
        <v>0</v>
      </c>
    </row>
    <row r="338" spans="2:19" hidden="1">
      <c r="B338" s="511">
        <v>326</v>
      </c>
      <c r="C338" s="540"/>
      <c r="D338" s="541"/>
      <c r="E338" s="542"/>
      <c r="F338" s="543"/>
      <c r="G338" s="36"/>
      <c r="H338" s="554">
        <f>IF(Consolidado_Geral!$G$133=7.6%,-(0.0165+0.076)*F338,0)</f>
        <v>0</v>
      </c>
      <c r="I338" s="36"/>
      <c r="J338" s="548"/>
      <c r="K338" s="549"/>
      <c r="L338" s="496"/>
      <c r="M338" s="557">
        <f t="shared" si="16"/>
        <v>0</v>
      </c>
      <c r="N338" s="556"/>
      <c r="O338" s="557">
        <f t="shared" si="15"/>
        <v>0</v>
      </c>
      <c r="P338" s="496"/>
      <c r="Q338" s="552"/>
      <c r="R338" s="496"/>
      <c r="S338" s="557">
        <f t="shared" si="17"/>
        <v>0</v>
      </c>
    </row>
    <row r="339" spans="2:19" hidden="1">
      <c r="B339" s="511">
        <v>327</v>
      </c>
      <c r="C339" s="540"/>
      <c r="D339" s="541"/>
      <c r="E339" s="542"/>
      <c r="F339" s="543"/>
      <c r="G339" s="36"/>
      <c r="H339" s="554">
        <f>IF(Consolidado_Geral!$G$133=7.6%,-(0.0165+0.076)*F339,0)</f>
        <v>0</v>
      </c>
      <c r="I339" s="36"/>
      <c r="J339" s="548"/>
      <c r="K339" s="549"/>
      <c r="L339" s="496"/>
      <c r="M339" s="557">
        <f t="shared" si="16"/>
        <v>0</v>
      </c>
      <c r="N339" s="556"/>
      <c r="O339" s="557">
        <f t="shared" si="15"/>
        <v>0</v>
      </c>
      <c r="P339" s="496"/>
      <c r="Q339" s="552"/>
      <c r="R339" s="496"/>
      <c r="S339" s="557">
        <f t="shared" si="17"/>
        <v>0</v>
      </c>
    </row>
    <row r="340" spans="2:19" hidden="1">
      <c r="B340" s="511">
        <v>328</v>
      </c>
      <c r="C340" s="540"/>
      <c r="D340" s="541"/>
      <c r="E340" s="542"/>
      <c r="F340" s="543"/>
      <c r="G340" s="36"/>
      <c r="H340" s="554">
        <f>IF(Consolidado_Geral!$G$133=7.6%,-(0.0165+0.076)*F340,0)</f>
        <v>0</v>
      </c>
      <c r="I340" s="36"/>
      <c r="J340" s="548"/>
      <c r="K340" s="549"/>
      <c r="L340" s="496"/>
      <c r="M340" s="557">
        <f t="shared" si="16"/>
        <v>0</v>
      </c>
      <c r="N340" s="556"/>
      <c r="O340" s="557">
        <f t="shared" si="15"/>
        <v>0</v>
      </c>
      <c r="P340" s="496"/>
      <c r="Q340" s="552"/>
      <c r="R340" s="496"/>
      <c r="S340" s="557">
        <f t="shared" si="17"/>
        <v>0</v>
      </c>
    </row>
    <row r="341" spans="2:19" hidden="1">
      <c r="B341" s="511">
        <v>329</v>
      </c>
      <c r="C341" s="540"/>
      <c r="D341" s="541"/>
      <c r="E341" s="542"/>
      <c r="F341" s="543"/>
      <c r="G341" s="36"/>
      <c r="H341" s="554">
        <f>IF(Consolidado_Geral!$G$133=7.6%,-(0.0165+0.076)*F341,0)</f>
        <v>0</v>
      </c>
      <c r="I341" s="36"/>
      <c r="J341" s="548"/>
      <c r="K341" s="549"/>
      <c r="L341" s="496"/>
      <c r="M341" s="557">
        <f t="shared" si="16"/>
        <v>0</v>
      </c>
      <c r="N341" s="556"/>
      <c r="O341" s="557">
        <f t="shared" si="15"/>
        <v>0</v>
      </c>
      <c r="P341" s="496"/>
      <c r="Q341" s="552"/>
      <c r="R341" s="496"/>
      <c r="S341" s="557">
        <f t="shared" si="17"/>
        <v>0</v>
      </c>
    </row>
    <row r="342" spans="2:19" hidden="1">
      <c r="B342" s="511">
        <v>330</v>
      </c>
      <c r="C342" s="540"/>
      <c r="D342" s="541"/>
      <c r="E342" s="542"/>
      <c r="F342" s="543"/>
      <c r="G342" s="36"/>
      <c r="H342" s="554">
        <f>IF(Consolidado_Geral!$G$133=7.6%,-(0.0165+0.076)*F342,0)</f>
        <v>0</v>
      </c>
      <c r="I342" s="36"/>
      <c r="J342" s="548"/>
      <c r="K342" s="549"/>
      <c r="L342" s="496"/>
      <c r="M342" s="557">
        <f t="shared" si="16"/>
        <v>0</v>
      </c>
      <c r="N342" s="556"/>
      <c r="O342" s="557">
        <f t="shared" si="15"/>
        <v>0</v>
      </c>
      <c r="P342" s="496"/>
      <c r="Q342" s="552"/>
      <c r="R342" s="496"/>
      <c r="S342" s="557">
        <f t="shared" si="17"/>
        <v>0</v>
      </c>
    </row>
    <row r="343" spans="2:19" hidden="1">
      <c r="B343" s="511">
        <v>331</v>
      </c>
      <c r="C343" s="540"/>
      <c r="D343" s="541"/>
      <c r="E343" s="542"/>
      <c r="F343" s="543"/>
      <c r="G343" s="36"/>
      <c r="H343" s="554">
        <f>IF(Consolidado_Geral!$G$133=7.6%,-(0.0165+0.076)*F343,0)</f>
        <v>0</v>
      </c>
      <c r="I343" s="36"/>
      <c r="J343" s="548"/>
      <c r="K343" s="549"/>
      <c r="L343" s="496"/>
      <c r="M343" s="557">
        <f t="shared" si="16"/>
        <v>0</v>
      </c>
      <c r="N343" s="556"/>
      <c r="O343" s="557">
        <f t="shared" si="15"/>
        <v>0</v>
      </c>
      <c r="P343" s="496"/>
      <c r="Q343" s="552"/>
      <c r="R343" s="496"/>
      <c r="S343" s="557">
        <f t="shared" si="17"/>
        <v>0</v>
      </c>
    </row>
    <row r="344" spans="2:19" hidden="1">
      <c r="B344" s="511">
        <v>332</v>
      </c>
      <c r="C344" s="540"/>
      <c r="D344" s="541"/>
      <c r="E344" s="542"/>
      <c r="F344" s="543"/>
      <c r="G344" s="36"/>
      <c r="H344" s="554">
        <f>IF(Consolidado_Geral!$G$133=7.6%,-(0.0165+0.076)*F344,0)</f>
        <v>0</v>
      </c>
      <c r="I344" s="36"/>
      <c r="J344" s="548"/>
      <c r="K344" s="549"/>
      <c r="L344" s="496"/>
      <c r="M344" s="557">
        <f t="shared" si="16"/>
        <v>0</v>
      </c>
      <c r="N344" s="556"/>
      <c r="O344" s="557">
        <f t="shared" si="15"/>
        <v>0</v>
      </c>
      <c r="P344" s="496"/>
      <c r="Q344" s="552"/>
      <c r="R344" s="496"/>
      <c r="S344" s="557">
        <f t="shared" si="17"/>
        <v>0</v>
      </c>
    </row>
    <row r="345" spans="2:19" hidden="1">
      <c r="B345" s="511">
        <v>333</v>
      </c>
      <c r="C345" s="540"/>
      <c r="D345" s="541"/>
      <c r="E345" s="542"/>
      <c r="F345" s="543"/>
      <c r="G345" s="36"/>
      <c r="H345" s="554">
        <f>IF(Consolidado_Geral!$G$133=7.6%,-(0.0165+0.076)*F345,0)</f>
        <v>0</v>
      </c>
      <c r="I345" s="36"/>
      <c r="J345" s="548"/>
      <c r="K345" s="549"/>
      <c r="L345" s="496"/>
      <c r="M345" s="557">
        <f t="shared" si="16"/>
        <v>0</v>
      </c>
      <c r="N345" s="556"/>
      <c r="O345" s="557">
        <f t="shared" si="15"/>
        <v>0</v>
      </c>
      <c r="Q345" s="552"/>
      <c r="S345" s="557">
        <f t="shared" si="17"/>
        <v>0</v>
      </c>
    </row>
    <row r="346" spans="2:19" hidden="1">
      <c r="B346" s="511">
        <v>334</v>
      </c>
      <c r="C346" s="540"/>
      <c r="D346" s="541"/>
      <c r="E346" s="542"/>
      <c r="F346" s="543"/>
      <c r="G346" s="36"/>
      <c r="H346" s="554">
        <f>IF(Consolidado_Geral!$G$133=7.6%,-(0.0165+0.076)*F346,0)</f>
        <v>0</v>
      </c>
      <c r="I346" s="36"/>
      <c r="J346" s="548"/>
      <c r="K346" s="549"/>
      <c r="L346" s="496"/>
      <c r="M346" s="557">
        <f t="shared" si="16"/>
        <v>0</v>
      </c>
      <c r="N346" s="556"/>
      <c r="O346" s="557">
        <f t="shared" si="15"/>
        <v>0</v>
      </c>
      <c r="Q346" s="552"/>
      <c r="S346" s="557">
        <f t="shared" si="17"/>
        <v>0</v>
      </c>
    </row>
    <row r="347" spans="2:19" hidden="1">
      <c r="B347" s="511">
        <v>335</v>
      </c>
      <c r="C347" s="540"/>
      <c r="D347" s="541"/>
      <c r="E347" s="542"/>
      <c r="F347" s="543"/>
      <c r="G347" s="36"/>
      <c r="H347" s="554">
        <f>IF(Consolidado_Geral!$G$133=7.6%,-(0.0165+0.076)*F347,0)</f>
        <v>0</v>
      </c>
      <c r="I347" s="36"/>
      <c r="J347" s="548"/>
      <c r="K347" s="549"/>
      <c r="L347" s="496"/>
      <c r="M347" s="557">
        <f t="shared" si="16"/>
        <v>0</v>
      </c>
      <c r="N347" s="556"/>
      <c r="O347" s="557">
        <f t="shared" si="15"/>
        <v>0</v>
      </c>
      <c r="Q347" s="552"/>
      <c r="S347" s="557">
        <f t="shared" si="17"/>
        <v>0</v>
      </c>
    </row>
    <row r="348" spans="2:19" hidden="1">
      <c r="B348" s="511">
        <v>336</v>
      </c>
      <c r="C348" s="540"/>
      <c r="D348" s="541"/>
      <c r="E348" s="542"/>
      <c r="F348" s="543"/>
      <c r="G348" s="36"/>
      <c r="H348" s="554">
        <f>IF(Consolidado_Geral!$G$133=7.6%,-(0.0165+0.076)*F348,0)</f>
        <v>0</v>
      </c>
      <c r="I348" s="36"/>
      <c r="J348" s="548"/>
      <c r="K348" s="549"/>
      <c r="L348" s="496"/>
      <c r="M348" s="557">
        <f t="shared" si="16"/>
        <v>0</v>
      </c>
      <c r="N348" s="556"/>
      <c r="O348" s="557">
        <f t="shared" si="15"/>
        <v>0</v>
      </c>
      <c r="Q348" s="552"/>
      <c r="S348" s="557">
        <f t="shared" si="17"/>
        <v>0</v>
      </c>
    </row>
    <row r="349" spans="2:19" hidden="1">
      <c r="B349" s="511">
        <v>337</v>
      </c>
      <c r="C349" s="540"/>
      <c r="D349" s="541"/>
      <c r="E349" s="542"/>
      <c r="F349" s="543"/>
      <c r="G349" s="36"/>
      <c r="H349" s="554">
        <f>IF(Consolidado_Geral!$G$133=7.6%,-(0.0165+0.076)*F349,0)</f>
        <v>0</v>
      </c>
      <c r="I349" s="36"/>
      <c r="J349" s="548"/>
      <c r="K349" s="549"/>
      <c r="L349" s="496"/>
      <c r="M349" s="557">
        <f t="shared" si="16"/>
        <v>0</v>
      </c>
      <c r="N349" s="556"/>
      <c r="O349" s="557">
        <f t="shared" si="15"/>
        <v>0</v>
      </c>
      <c r="Q349" s="552"/>
      <c r="S349" s="557">
        <f t="shared" si="17"/>
        <v>0</v>
      </c>
    </row>
    <row r="350" spans="2:19" hidden="1">
      <c r="B350" s="511">
        <v>338</v>
      </c>
      <c r="C350" s="540"/>
      <c r="D350" s="541"/>
      <c r="E350" s="542"/>
      <c r="F350" s="543"/>
      <c r="G350" s="36"/>
      <c r="H350" s="554">
        <f>IF(Consolidado_Geral!$G$133=7.6%,-(0.0165+0.076)*F350,0)</f>
        <v>0</v>
      </c>
      <c r="I350" s="36"/>
      <c r="J350" s="548"/>
      <c r="K350" s="549"/>
      <c r="L350" s="496"/>
      <c r="M350" s="557">
        <f t="shared" si="16"/>
        <v>0</v>
      </c>
      <c r="N350" s="556"/>
      <c r="O350" s="557">
        <f t="shared" si="15"/>
        <v>0</v>
      </c>
      <c r="Q350" s="552"/>
      <c r="S350" s="557">
        <f t="shared" si="17"/>
        <v>0</v>
      </c>
    </row>
    <row r="351" spans="2:19" hidden="1">
      <c r="B351" s="511">
        <v>339</v>
      </c>
      <c r="C351" s="540"/>
      <c r="D351" s="541"/>
      <c r="E351" s="542"/>
      <c r="F351" s="543"/>
      <c r="G351" s="36"/>
      <c r="H351" s="554">
        <f>IF(Consolidado_Geral!$G$133=7.6%,-(0.0165+0.076)*F351,0)</f>
        <v>0</v>
      </c>
      <c r="I351" s="36"/>
      <c r="J351" s="548"/>
      <c r="K351" s="549"/>
      <c r="L351" s="496"/>
      <c r="M351" s="557">
        <f t="shared" si="16"/>
        <v>0</v>
      </c>
      <c r="N351" s="556"/>
      <c r="O351" s="557">
        <f t="shared" si="15"/>
        <v>0</v>
      </c>
      <c r="Q351" s="552"/>
      <c r="S351" s="557">
        <f t="shared" si="17"/>
        <v>0</v>
      </c>
    </row>
    <row r="352" spans="2:19" hidden="1">
      <c r="B352" s="511">
        <v>340</v>
      </c>
      <c r="C352" s="540"/>
      <c r="D352" s="541"/>
      <c r="E352" s="542"/>
      <c r="F352" s="543"/>
      <c r="G352" s="36"/>
      <c r="H352" s="554">
        <f>IF(Consolidado_Geral!$G$133=7.6%,-(0.0165+0.076)*F352,0)</f>
        <v>0</v>
      </c>
      <c r="I352" s="36"/>
      <c r="J352" s="548"/>
      <c r="K352" s="549"/>
      <c r="L352" s="496"/>
      <c r="M352" s="557">
        <f t="shared" si="16"/>
        <v>0</v>
      </c>
      <c r="N352" s="556"/>
      <c r="O352" s="557">
        <f t="shared" si="15"/>
        <v>0</v>
      </c>
      <c r="Q352" s="552"/>
      <c r="S352" s="557">
        <f t="shared" si="17"/>
        <v>0</v>
      </c>
    </row>
    <row r="353" spans="2:19" hidden="1">
      <c r="B353" s="511">
        <v>341</v>
      </c>
      <c r="C353" s="540"/>
      <c r="D353" s="541"/>
      <c r="E353" s="542"/>
      <c r="F353" s="543"/>
      <c r="G353" s="36"/>
      <c r="H353" s="554">
        <f>IF(Consolidado_Geral!$G$133=7.6%,-(0.0165+0.076)*F353,0)</f>
        <v>0</v>
      </c>
      <c r="I353" s="36"/>
      <c r="J353" s="548"/>
      <c r="K353" s="549"/>
      <c r="L353" s="496"/>
      <c r="M353" s="557">
        <f t="shared" si="16"/>
        <v>0</v>
      </c>
      <c r="N353" s="556"/>
      <c r="O353" s="557">
        <f t="shared" si="15"/>
        <v>0</v>
      </c>
      <c r="Q353" s="552"/>
      <c r="S353" s="557">
        <f t="shared" si="17"/>
        <v>0</v>
      </c>
    </row>
    <row r="354" spans="2:19" hidden="1">
      <c r="B354" s="511">
        <v>342</v>
      </c>
      <c r="C354" s="540"/>
      <c r="D354" s="541"/>
      <c r="E354" s="542"/>
      <c r="F354" s="543"/>
      <c r="G354" s="36"/>
      <c r="H354" s="554">
        <f>IF(Consolidado_Geral!$G$133=7.6%,-(0.0165+0.076)*F354,0)</f>
        <v>0</v>
      </c>
      <c r="I354" s="36"/>
      <c r="J354" s="548"/>
      <c r="K354" s="549"/>
      <c r="L354" s="496"/>
      <c r="M354" s="557">
        <f t="shared" si="16"/>
        <v>0</v>
      </c>
      <c r="N354" s="556"/>
      <c r="O354" s="557">
        <f t="shared" si="15"/>
        <v>0</v>
      </c>
      <c r="Q354" s="552"/>
      <c r="S354" s="557">
        <f t="shared" si="17"/>
        <v>0</v>
      </c>
    </row>
    <row r="355" spans="2:19" hidden="1">
      <c r="B355" s="511">
        <v>343</v>
      </c>
      <c r="C355" s="540"/>
      <c r="D355" s="541"/>
      <c r="E355" s="542"/>
      <c r="F355" s="543"/>
      <c r="G355" s="36"/>
      <c r="H355" s="554">
        <f>IF(Consolidado_Geral!$G$133=7.6%,-(0.0165+0.076)*F355,0)</f>
        <v>0</v>
      </c>
      <c r="I355" s="36"/>
      <c r="J355" s="548"/>
      <c r="K355" s="549"/>
      <c r="L355" s="496"/>
      <c r="M355" s="557">
        <f t="shared" si="16"/>
        <v>0</v>
      </c>
      <c r="N355" s="556"/>
      <c r="O355" s="557">
        <f t="shared" si="15"/>
        <v>0</v>
      </c>
      <c r="Q355" s="552"/>
      <c r="S355" s="557">
        <f t="shared" si="17"/>
        <v>0</v>
      </c>
    </row>
    <row r="356" spans="2:19" hidden="1">
      <c r="B356" s="511">
        <v>344</v>
      </c>
      <c r="C356" s="540"/>
      <c r="D356" s="541"/>
      <c r="E356" s="542"/>
      <c r="F356" s="543"/>
      <c r="G356" s="36"/>
      <c r="H356" s="554">
        <f>IF(Consolidado_Geral!$G$133=7.6%,-(0.0165+0.076)*F356,0)</f>
        <v>0</v>
      </c>
      <c r="I356" s="36"/>
      <c r="J356" s="548"/>
      <c r="K356" s="549"/>
      <c r="L356" s="496"/>
      <c r="M356" s="557">
        <f t="shared" si="16"/>
        <v>0</v>
      </c>
      <c r="N356" s="556"/>
      <c r="O356" s="557">
        <f t="shared" si="15"/>
        <v>0</v>
      </c>
      <c r="Q356" s="552"/>
      <c r="S356" s="557">
        <f t="shared" si="17"/>
        <v>0</v>
      </c>
    </row>
    <row r="357" spans="2:19" hidden="1">
      <c r="B357" s="511">
        <v>345</v>
      </c>
      <c r="C357" s="540"/>
      <c r="D357" s="541"/>
      <c r="E357" s="542"/>
      <c r="F357" s="543"/>
      <c r="G357" s="36"/>
      <c r="H357" s="554">
        <f>IF(Consolidado_Geral!$G$133=7.6%,-(0.0165+0.076)*F357,0)</f>
        <v>0</v>
      </c>
      <c r="I357" s="36"/>
      <c r="J357" s="548"/>
      <c r="K357" s="549"/>
      <c r="L357" s="496"/>
      <c r="M357" s="557">
        <f t="shared" si="16"/>
        <v>0</v>
      </c>
      <c r="N357" s="556"/>
      <c r="O357" s="557">
        <f t="shared" si="15"/>
        <v>0</v>
      </c>
      <c r="Q357" s="552"/>
      <c r="S357" s="557">
        <f t="shared" si="17"/>
        <v>0</v>
      </c>
    </row>
    <row r="358" spans="2:19" hidden="1">
      <c r="B358" s="511">
        <v>346</v>
      </c>
      <c r="C358" s="540"/>
      <c r="D358" s="541"/>
      <c r="E358" s="542"/>
      <c r="F358" s="543"/>
      <c r="G358" s="36"/>
      <c r="H358" s="554">
        <f>IF(Consolidado_Geral!$G$133=7.6%,-(0.0165+0.076)*F358,0)</f>
        <v>0</v>
      </c>
      <c r="I358" s="36"/>
      <c r="J358" s="548"/>
      <c r="K358" s="549"/>
      <c r="L358" s="496"/>
      <c r="M358" s="557">
        <f t="shared" si="16"/>
        <v>0</v>
      </c>
      <c r="N358" s="556"/>
      <c r="O358" s="557">
        <f t="shared" si="15"/>
        <v>0</v>
      </c>
      <c r="P358" s="496"/>
      <c r="Q358" s="552"/>
      <c r="R358" s="496"/>
      <c r="S358" s="557">
        <f t="shared" si="17"/>
        <v>0</v>
      </c>
    </row>
    <row r="359" spans="2:19" hidden="1">
      <c r="B359" s="511">
        <v>347</v>
      </c>
      <c r="C359" s="540"/>
      <c r="D359" s="541"/>
      <c r="E359" s="542"/>
      <c r="F359" s="543"/>
      <c r="G359" s="36"/>
      <c r="H359" s="554">
        <f>IF(Consolidado_Geral!$G$133=7.6%,-(0.0165+0.076)*F359,0)</f>
        <v>0</v>
      </c>
      <c r="I359" s="36"/>
      <c r="J359" s="548"/>
      <c r="K359" s="549"/>
      <c r="L359" s="496"/>
      <c r="M359" s="557">
        <f t="shared" si="16"/>
        <v>0</v>
      </c>
      <c r="N359" s="556"/>
      <c r="O359" s="557">
        <f t="shared" si="15"/>
        <v>0</v>
      </c>
      <c r="P359" s="496"/>
      <c r="Q359" s="552"/>
      <c r="R359" s="496"/>
      <c r="S359" s="557">
        <f t="shared" si="17"/>
        <v>0</v>
      </c>
    </row>
    <row r="360" spans="2:19" hidden="1">
      <c r="B360" s="511">
        <v>348</v>
      </c>
      <c r="C360" s="540"/>
      <c r="D360" s="541"/>
      <c r="E360" s="542"/>
      <c r="F360" s="543"/>
      <c r="G360" s="36"/>
      <c r="H360" s="554">
        <f>IF(Consolidado_Geral!$G$133=7.6%,-(0.0165+0.076)*F360,0)</f>
        <v>0</v>
      </c>
      <c r="I360" s="36"/>
      <c r="J360" s="548"/>
      <c r="K360" s="549"/>
      <c r="L360" s="496"/>
      <c r="M360" s="557">
        <f t="shared" si="16"/>
        <v>0</v>
      </c>
      <c r="N360" s="556"/>
      <c r="O360" s="557">
        <f t="shared" si="15"/>
        <v>0</v>
      </c>
      <c r="P360" s="496"/>
      <c r="Q360" s="552"/>
      <c r="R360" s="496"/>
      <c r="S360" s="557">
        <f t="shared" si="17"/>
        <v>0</v>
      </c>
    </row>
    <row r="361" spans="2:19" hidden="1">
      <c r="B361" s="511">
        <v>349</v>
      </c>
      <c r="C361" s="540"/>
      <c r="D361" s="541"/>
      <c r="E361" s="542"/>
      <c r="F361" s="543"/>
      <c r="G361" s="36"/>
      <c r="H361" s="554">
        <f>IF(Consolidado_Geral!$G$133=7.6%,-(0.0165+0.076)*F361,0)</f>
        <v>0</v>
      </c>
      <c r="I361" s="36"/>
      <c r="J361" s="548"/>
      <c r="K361" s="549"/>
      <c r="L361" s="496"/>
      <c r="M361" s="557">
        <f t="shared" si="16"/>
        <v>0</v>
      </c>
      <c r="N361" s="556"/>
      <c r="O361" s="557">
        <f t="shared" si="15"/>
        <v>0</v>
      </c>
      <c r="P361" s="496"/>
      <c r="Q361" s="552"/>
      <c r="R361" s="496"/>
      <c r="S361" s="557">
        <f t="shared" si="17"/>
        <v>0</v>
      </c>
    </row>
    <row r="362" spans="2:19" hidden="1">
      <c r="B362" s="511">
        <v>350</v>
      </c>
      <c r="C362" s="540"/>
      <c r="D362" s="541"/>
      <c r="E362" s="542"/>
      <c r="F362" s="543"/>
      <c r="G362" s="36"/>
      <c r="H362" s="554">
        <f>IF(Consolidado_Geral!$G$133=7.6%,-(0.0165+0.076)*F362,0)</f>
        <v>0</v>
      </c>
      <c r="I362" s="36"/>
      <c r="J362" s="548"/>
      <c r="K362" s="549"/>
      <c r="L362" s="496"/>
      <c r="M362" s="557">
        <f t="shared" si="16"/>
        <v>0</v>
      </c>
      <c r="N362" s="556"/>
      <c r="O362" s="557">
        <f t="shared" si="15"/>
        <v>0</v>
      </c>
      <c r="P362" s="496"/>
      <c r="Q362" s="552"/>
      <c r="R362" s="496"/>
      <c r="S362" s="557">
        <f t="shared" si="17"/>
        <v>0</v>
      </c>
    </row>
    <row r="363" spans="2:19" hidden="1">
      <c r="B363" s="511">
        <v>351</v>
      </c>
      <c r="C363" s="540"/>
      <c r="D363" s="541"/>
      <c r="E363" s="542"/>
      <c r="F363" s="543"/>
      <c r="G363" s="36"/>
      <c r="H363" s="554">
        <f>IF(Consolidado_Geral!$G$133=7.6%,-(0.0165+0.076)*F363,0)</f>
        <v>0</v>
      </c>
      <c r="I363" s="36"/>
      <c r="J363" s="548"/>
      <c r="K363" s="549"/>
      <c r="L363" s="496"/>
      <c r="M363" s="557">
        <f t="shared" si="16"/>
        <v>0</v>
      </c>
      <c r="N363" s="556"/>
      <c r="O363" s="557">
        <f t="shared" si="15"/>
        <v>0</v>
      </c>
      <c r="P363" s="496"/>
      <c r="Q363" s="552"/>
      <c r="R363" s="496"/>
      <c r="S363" s="557">
        <f t="shared" si="17"/>
        <v>0</v>
      </c>
    </row>
    <row r="364" spans="2:19" hidden="1">
      <c r="B364" s="511">
        <v>352</v>
      </c>
      <c r="C364" s="540"/>
      <c r="D364" s="541"/>
      <c r="E364" s="542"/>
      <c r="F364" s="543"/>
      <c r="G364" s="36"/>
      <c r="H364" s="554">
        <f>IF(Consolidado_Geral!$G$133=7.6%,-(0.0165+0.076)*F364,0)</f>
        <v>0</v>
      </c>
      <c r="I364" s="36"/>
      <c r="J364" s="548"/>
      <c r="K364" s="549"/>
      <c r="L364" s="496"/>
      <c r="M364" s="557">
        <f t="shared" si="16"/>
        <v>0</v>
      </c>
      <c r="N364" s="556"/>
      <c r="O364" s="557">
        <f t="shared" si="15"/>
        <v>0</v>
      </c>
      <c r="P364" s="496"/>
      <c r="Q364" s="552"/>
      <c r="R364" s="496"/>
      <c r="S364" s="557">
        <f t="shared" si="17"/>
        <v>0</v>
      </c>
    </row>
    <row r="365" spans="2:19" hidden="1">
      <c r="B365" s="511">
        <v>353</v>
      </c>
      <c r="C365" s="540"/>
      <c r="D365" s="541"/>
      <c r="E365" s="542"/>
      <c r="F365" s="543"/>
      <c r="G365" s="36"/>
      <c r="H365" s="554">
        <f>IF(Consolidado_Geral!$G$133=7.6%,-(0.0165+0.076)*F365,0)</f>
        <v>0</v>
      </c>
      <c r="I365" s="36"/>
      <c r="J365" s="548"/>
      <c r="K365" s="549"/>
      <c r="L365" s="496"/>
      <c r="M365" s="557">
        <f t="shared" si="16"/>
        <v>0</v>
      </c>
      <c r="N365" s="556"/>
      <c r="O365" s="557">
        <f t="shared" si="15"/>
        <v>0</v>
      </c>
      <c r="P365" s="496"/>
      <c r="Q365" s="552"/>
      <c r="R365" s="496"/>
      <c r="S365" s="557">
        <f t="shared" si="17"/>
        <v>0</v>
      </c>
    </row>
    <row r="366" spans="2:19" hidden="1">
      <c r="B366" s="511">
        <v>354</v>
      </c>
      <c r="C366" s="540"/>
      <c r="D366" s="541"/>
      <c r="E366" s="542"/>
      <c r="F366" s="543"/>
      <c r="G366" s="36"/>
      <c r="H366" s="554">
        <f>IF(Consolidado_Geral!$G$133=7.6%,-(0.0165+0.076)*F366,0)</f>
        <v>0</v>
      </c>
      <c r="I366" s="36"/>
      <c r="J366" s="548"/>
      <c r="K366" s="549"/>
      <c r="L366" s="496"/>
      <c r="M366" s="557">
        <f t="shared" si="16"/>
        <v>0</v>
      </c>
      <c r="N366" s="556"/>
      <c r="O366" s="557">
        <f t="shared" si="15"/>
        <v>0</v>
      </c>
      <c r="P366" s="496"/>
      <c r="Q366" s="552"/>
      <c r="R366" s="496"/>
      <c r="S366" s="557">
        <f t="shared" si="17"/>
        <v>0</v>
      </c>
    </row>
    <row r="367" spans="2:19" hidden="1">
      <c r="B367" s="511">
        <v>355</v>
      </c>
      <c r="C367" s="540"/>
      <c r="D367" s="541"/>
      <c r="E367" s="542"/>
      <c r="F367" s="543"/>
      <c r="G367" s="36"/>
      <c r="H367" s="554">
        <f>IF(Consolidado_Geral!$G$133=7.6%,-(0.0165+0.076)*F367,0)</f>
        <v>0</v>
      </c>
      <c r="I367" s="36"/>
      <c r="J367" s="548"/>
      <c r="K367" s="549"/>
      <c r="L367" s="496"/>
      <c r="M367" s="557">
        <f t="shared" si="16"/>
        <v>0</v>
      </c>
      <c r="N367" s="556"/>
      <c r="O367" s="557">
        <f t="shared" si="15"/>
        <v>0</v>
      </c>
      <c r="P367" s="496"/>
      <c r="Q367" s="552"/>
      <c r="R367" s="496"/>
      <c r="S367" s="557">
        <f t="shared" si="17"/>
        <v>0</v>
      </c>
    </row>
    <row r="368" spans="2:19" hidden="1">
      <c r="B368" s="511">
        <v>356</v>
      </c>
      <c r="C368" s="540"/>
      <c r="D368" s="541"/>
      <c r="E368" s="542"/>
      <c r="F368" s="543"/>
      <c r="G368" s="36"/>
      <c r="H368" s="554">
        <f>IF(Consolidado_Geral!$G$133=7.6%,-(0.0165+0.076)*F368,0)</f>
        <v>0</v>
      </c>
      <c r="I368" s="36"/>
      <c r="J368" s="548"/>
      <c r="K368" s="549"/>
      <c r="L368" s="496"/>
      <c r="M368" s="557">
        <f t="shared" si="16"/>
        <v>0</v>
      </c>
      <c r="N368" s="556"/>
      <c r="O368" s="557">
        <f t="shared" si="15"/>
        <v>0</v>
      </c>
      <c r="P368" s="496"/>
      <c r="Q368" s="552"/>
      <c r="R368" s="496"/>
      <c r="S368" s="557">
        <f t="shared" si="17"/>
        <v>0</v>
      </c>
    </row>
    <row r="369" spans="2:19" hidden="1">
      <c r="B369" s="511">
        <v>357</v>
      </c>
      <c r="C369" s="540"/>
      <c r="D369" s="541"/>
      <c r="E369" s="542"/>
      <c r="F369" s="543"/>
      <c r="G369" s="36"/>
      <c r="H369" s="554">
        <f>IF(Consolidado_Geral!$G$133=7.6%,-(0.0165+0.076)*F369,0)</f>
        <v>0</v>
      </c>
      <c r="I369" s="36"/>
      <c r="J369" s="548"/>
      <c r="K369" s="549"/>
      <c r="L369" s="496"/>
      <c r="M369" s="557">
        <f t="shared" si="16"/>
        <v>0</v>
      </c>
      <c r="N369" s="556"/>
      <c r="O369" s="557">
        <f t="shared" si="15"/>
        <v>0</v>
      </c>
      <c r="Q369" s="552"/>
      <c r="S369" s="557">
        <f t="shared" si="17"/>
        <v>0</v>
      </c>
    </row>
    <row r="370" spans="2:19" hidden="1">
      <c r="B370" s="511">
        <v>358</v>
      </c>
      <c r="C370" s="540"/>
      <c r="D370" s="541"/>
      <c r="E370" s="542"/>
      <c r="F370" s="543"/>
      <c r="G370" s="36"/>
      <c r="H370" s="554">
        <f>IF(Consolidado_Geral!$G$133=7.6%,-(0.0165+0.076)*F370,0)</f>
        <v>0</v>
      </c>
      <c r="I370" s="36"/>
      <c r="J370" s="548"/>
      <c r="K370" s="549"/>
      <c r="L370" s="496"/>
      <c r="M370" s="557">
        <f t="shared" si="16"/>
        <v>0</v>
      </c>
      <c r="N370" s="556"/>
      <c r="O370" s="557">
        <f t="shared" si="15"/>
        <v>0</v>
      </c>
      <c r="Q370" s="552"/>
      <c r="S370" s="557">
        <f t="shared" si="17"/>
        <v>0</v>
      </c>
    </row>
    <row r="371" spans="2:19" hidden="1">
      <c r="B371" s="511">
        <v>359</v>
      </c>
      <c r="C371" s="540"/>
      <c r="D371" s="541"/>
      <c r="E371" s="542"/>
      <c r="F371" s="543"/>
      <c r="G371" s="36"/>
      <c r="H371" s="554">
        <f>IF(Consolidado_Geral!$G$133=7.6%,-(0.0165+0.076)*F371,0)</f>
        <v>0</v>
      </c>
      <c r="I371" s="36"/>
      <c r="J371" s="548"/>
      <c r="K371" s="549"/>
      <c r="L371" s="496"/>
      <c r="M371" s="557">
        <f t="shared" si="16"/>
        <v>0</v>
      </c>
      <c r="N371" s="556"/>
      <c r="O371" s="557">
        <f t="shared" si="15"/>
        <v>0</v>
      </c>
      <c r="Q371" s="552"/>
      <c r="S371" s="557">
        <f t="shared" si="17"/>
        <v>0</v>
      </c>
    </row>
    <row r="372" spans="2:19" hidden="1">
      <c r="B372" s="511">
        <v>360</v>
      </c>
      <c r="C372" s="540"/>
      <c r="D372" s="541"/>
      <c r="E372" s="542"/>
      <c r="F372" s="543"/>
      <c r="G372" s="36"/>
      <c r="H372" s="554">
        <f>IF(Consolidado_Geral!$G$133=7.6%,-(0.0165+0.076)*F372,0)</f>
        <v>0</v>
      </c>
      <c r="I372" s="36"/>
      <c r="J372" s="548"/>
      <c r="K372" s="549"/>
      <c r="L372" s="496"/>
      <c r="M372" s="557">
        <f t="shared" si="16"/>
        <v>0</v>
      </c>
      <c r="N372" s="556"/>
      <c r="O372" s="557">
        <f t="shared" si="15"/>
        <v>0</v>
      </c>
      <c r="Q372" s="552"/>
      <c r="S372" s="557">
        <f t="shared" si="17"/>
        <v>0</v>
      </c>
    </row>
    <row r="373" spans="2:19" hidden="1">
      <c r="B373" s="511">
        <v>361</v>
      </c>
      <c r="C373" s="540"/>
      <c r="D373" s="541"/>
      <c r="E373" s="542"/>
      <c r="F373" s="543"/>
      <c r="G373" s="36"/>
      <c r="H373" s="554">
        <f>IF(Consolidado_Geral!$G$133=7.6%,-(0.0165+0.076)*F373,0)</f>
        <v>0</v>
      </c>
      <c r="I373" s="36"/>
      <c r="J373" s="548"/>
      <c r="K373" s="549"/>
      <c r="L373" s="496"/>
      <c r="M373" s="557">
        <f t="shared" si="16"/>
        <v>0</v>
      </c>
      <c r="N373" s="556"/>
      <c r="O373" s="557">
        <f t="shared" si="15"/>
        <v>0</v>
      </c>
      <c r="Q373" s="552"/>
      <c r="S373" s="557">
        <f t="shared" si="17"/>
        <v>0</v>
      </c>
    </row>
    <row r="374" spans="2:19" hidden="1">
      <c r="B374" s="511">
        <v>362</v>
      </c>
      <c r="C374" s="540"/>
      <c r="D374" s="541"/>
      <c r="E374" s="542"/>
      <c r="F374" s="543"/>
      <c r="G374" s="36"/>
      <c r="H374" s="554">
        <f>IF(Consolidado_Geral!$G$133=7.6%,-(0.0165+0.076)*F374,0)</f>
        <v>0</v>
      </c>
      <c r="I374" s="36"/>
      <c r="J374" s="548"/>
      <c r="K374" s="549"/>
      <c r="L374" s="496"/>
      <c r="M374" s="557">
        <f t="shared" si="16"/>
        <v>0</v>
      </c>
      <c r="N374" s="556"/>
      <c r="O374" s="557">
        <f t="shared" si="15"/>
        <v>0</v>
      </c>
      <c r="Q374" s="552"/>
      <c r="S374" s="557">
        <f t="shared" si="17"/>
        <v>0</v>
      </c>
    </row>
    <row r="375" spans="2:19" hidden="1">
      <c r="B375" s="511">
        <v>363</v>
      </c>
      <c r="C375" s="540"/>
      <c r="D375" s="541"/>
      <c r="E375" s="542"/>
      <c r="F375" s="543"/>
      <c r="G375" s="36"/>
      <c r="H375" s="554">
        <f>IF(Consolidado_Geral!$G$133=7.6%,-(0.0165+0.076)*F375,0)</f>
        <v>0</v>
      </c>
      <c r="I375" s="36"/>
      <c r="J375" s="548"/>
      <c r="K375" s="549"/>
      <c r="L375" s="496"/>
      <c r="M375" s="557">
        <f t="shared" si="16"/>
        <v>0</v>
      </c>
      <c r="N375" s="556"/>
      <c r="O375" s="557">
        <f t="shared" si="15"/>
        <v>0</v>
      </c>
      <c r="Q375" s="552"/>
      <c r="S375" s="557">
        <f t="shared" si="17"/>
        <v>0</v>
      </c>
    </row>
    <row r="376" spans="2:19" hidden="1">
      <c r="B376" s="511">
        <v>364</v>
      </c>
      <c r="C376" s="540"/>
      <c r="D376" s="541"/>
      <c r="E376" s="542"/>
      <c r="F376" s="543"/>
      <c r="G376" s="36"/>
      <c r="H376" s="554">
        <f>IF(Consolidado_Geral!$G$133=7.6%,-(0.0165+0.076)*F376,0)</f>
        <v>0</v>
      </c>
      <c r="I376" s="36"/>
      <c r="J376" s="548"/>
      <c r="K376" s="549"/>
      <c r="L376" s="496"/>
      <c r="M376" s="557">
        <f t="shared" si="16"/>
        <v>0</v>
      </c>
      <c r="N376" s="556"/>
      <c r="O376" s="557">
        <f t="shared" si="15"/>
        <v>0</v>
      </c>
      <c r="Q376" s="552"/>
      <c r="S376" s="557">
        <f t="shared" si="17"/>
        <v>0</v>
      </c>
    </row>
    <row r="377" spans="2:19" hidden="1">
      <c r="B377" s="511">
        <v>365</v>
      </c>
      <c r="C377" s="540"/>
      <c r="D377" s="541"/>
      <c r="E377" s="542"/>
      <c r="F377" s="543"/>
      <c r="G377" s="36"/>
      <c r="H377" s="554">
        <f>IF(Consolidado_Geral!$G$133=7.6%,-(0.0165+0.076)*F377,0)</f>
        <v>0</v>
      </c>
      <c r="I377" s="36"/>
      <c r="J377" s="548"/>
      <c r="K377" s="549"/>
      <c r="L377" s="496"/>
      <c r="M377" s="557">
        <f t="shared" si="16"/>
        <v>0</v>
      </c>
      <c r="N377" s="556"/>
      <c r="O377" s="557">
        <f t="shared" si="15"/>
        <v>0</v>
      </c>
      <c r="Q377" s="552"/>
      <c r="S377" s="557">
        <f t="shared" si="17"/>
        <v>0</v>
      </c>
    </row>
    <row r="378" spans="2:19" hidden="1">
      <c r="B378" s="511">
        <v>366</v>
      </c>
      <c r="C378" s="540"/>
      <c r="D378" s="541"/>
      <c r="E378" s="542"/>
      <c r="F378" s="543"/>
      <c r="G378" s="36"/>
      <c r="H378" s="554">
        <f>IF(Consolidado_Geral!$G$133=7.6%,-(0.0165+0.076)*F378,0)</f>
        <v>0</v>
      </c>
      <c r="I378" s="36"/>
      <c r="J378" s="548"/>
      <c r="K378" s="549"/>
      <c r="L378" s="496"/>
      <c r="M378" s="557">
        <f t="shared" si="16"/>
        <v>0</v>
      </c>
      <c r="N378" s="556"/>
      <c r="O378" s="557">
        <f t="shared" si="15"/>
        <v>0</v>
      </c>
      <c r="Q378" s="552"/>
      <c r="S378" s="557">
        <f t="shared" si="17"/>
        <v>0</v>
      </c>
    </row>
    <row r="379" spans="2:19" hidden="1">
      <c r="B379" s="511">
        <v>367</v>
      </c>
      <c r="C379" s="540"/>
      <c r="D379" s="541"/>
      <c r="E379" s="542"/>
      <c r="F379" s="543"/>
      <c r="G379" s="36"/>
      <c r="H379" s="554">
        <f>IF(Consolidado_Geral!$G$133=7.6%,-(0.0165+0.076)*F379,0)</f>
        <v>0</v>
      </c>
      <c r="I379" s="36"/>
      <c r="J379" s="548"/>
      <c r="K379" s="549"/>
      <c r="L379" s="496"/>
      <c r="M379" s="557">
        <f t="shared" si="16"/>
        <v>0</v>
      </c>
      <c r="N379" s="556"/>
      <c r="O379" s="557">
        <f t="shared" si="15"/>
        <v>0</v>
      </c>
      <c r="Q379" s="552"/>
      <c r="S379" s="557">
        <f t="shared" si="17"/>
        <v>0</v>
      </c>
    </row>
    <row r="380" spans="2:19" hidden="1">
      <c r="B380" s="511">
        <v>368</v>
      </c>
      <c r="C380" s="540"/>
      <c r="D380" s="541"/>
      <c r="E380" s="542"/>
      <c r="F380" s="543"/>
      <c r="G380" s="36"/>
      <c r="H380" s="554">
        <f>IF(Consolidado_Geral!$G$133=7.6%,-(0.0165+0.076)*F380,0)</f>
        <v>0</v>
      </c>
      <c r="I380" s="36"/>
      <c r="J380" s="548"/>
      <c r="K380" s="549"/>
      <c r="L380" s="496"/>
      <c r="M380" s="557">
        <f t="shared" si="16"/>
        <v>0</v>
      </c>
      <c r="N380" s="556"/>
      <c r="O380" s="557">
        <f t="shared" si="15"/>
        <v>0</v>
      </c>
      <c r="Q380" s="552"/>
      <c r="S380" s="557">
        <f t="shared" si="17"/>
        <v>0</v>
      </c>
    </row>
    <row r="381" spans="2:19" hidden="1">
      <c r="B381" s="511">
        <v>369</v>
      </c>
      <c r="C381" s="540"/>
      <c r="D381" s="541"/>
      <c r="E381" s="542"/>
      <c r="F381" s="543"/>
      <c r="G381" s="36"/>
      <c r="H381" s="554">
        <f>IF(Consolidado_Geral!$G$133=7.6%,-(0.0165+0.076)*F381,0)</f>
        <v>0</v>
      </c>
      <c r="I381" s="36"/>
      <c r="J381" s="548"/>
      <c r="K381" s="549"/>
      <c r="L381" s="496"/>
      <c r="M381" s="557">
        <f t="shared" si="16"/>
        <v>0</v>
      </c>
      <c r="N381" s="556"/>
      <c r="O381" s="557">
        <f t="shared" si="15"/>
        <v>0</v>
      </c>
      <c r="Q381" s="552"/>
      <c r="S381" s="557">
        <f t="shared" si="17"/>
        <v>0</v>
      </c>
    </row>
    <row r="382" spans="2:19" hidden="1">
      <c r="B382" s="511">
        <v>370</v>
      </c>
      <c r="C382" s="540"/>
      <c r="D382" s="541"/>
      <c r="E382" s="542"/>
      <c r="F382" s="543"/>
      <c r="G382" s="36"/>
      <c r="H382" s="554">
        <f>IF(Consolidado_Geral!$G$133=7.6%,-(0.0165+0.076)*F382,0)</f>
        <v>0</v>
      </c>
      <c r="I382" s="36"/>
      <c r="J382" s="548"/>
      <c r="K382" s="549"/>
      <c r="L382" s="496"/>
      <c r="M382" s="557">
        <f t="shared" si="16"/>
        <v>0</v>
      </c>
      <c r="N382" s="556"/>
      <c r="O382" s="557">
        <f t="shared" si="15"/>
        <v>0</v>
      </c>
      <c r="P382" s="496"/>
      <c r="Q382" s="552"/>
      <c r="R382" s="496"/>
      <c r="S382" s="557">
        <f t="shared" si="17"/>
        <v>0</v>
      </c>
    </row>
    <row r="383" spans="2:19" hidden="1">
      <c r="B383" s="511">
        <v>371</v>
      </c>
      <c r="C383" s="540"/>
      <c r="D383" s="541"/>
      <c r="E383" s="542"/>
      <c r="F383" s="543"/>
      <c r="G383" s="36"/>
      <c r="H383" s="554">
        <f>IF(Consolidado_Geral!$G$133=7.6%,-(0.0165+0.076)*F383,0)</f>
        <v>0</v>
      </c>
      <c r="I383" s="36"/>
      <c r="J383" s="548"/>
      <c r="K383" s="549"/>
      <c r="L383" s="496"/>
      <c r="M383" s="557">
        <f t="shared" si="16"/>
        <v>0</v>
      </c>
      <c r="N383" s="556"/>
      <c r="O383" s="557">
        <f t="shared" si="15"/>
        <v>0</v>
      </c>
      <c r="P383" s="496"/>
      <c r="Q383" s="552"/>
      <c r="R383" s="496"/>
      <c r="S383" s="557">
        <f t="shared" si="17"/>
        <v>0</v>
      </c>
    </row>
    <row r="384" spans="2:19" hidden="1">
      <c r="B384" s="511">
        <v>372</v>
      </c>
      <c r="C384" s="540"/>
      <c r="D384" s="541"/>
      <c r="E384" s="542"/>
      <c r="F384" s="543"/>
      <c r="G384" s="36"/>
      <c r="H384" s="554">
        <f>IF(Consolidado_Geral!$G$133=7.6%,-(0.0165+0.076)*F384,0)</f>
        <v>0</v>
      </c>
      <c r="I384" s="36"/>
      <c r="J384" s="548"/>
      <c r="K384" s="549"/>
      <c r="L384" s="496"/>
      <c r="M384" s="557">
        <f t="shared" si="16"/>
        <v>0</v>
      </c>
      <c r="N384" s="556"/>
      <c r="O384" s="557">
        <f t="shared" si="15"/>
        <v>0</v>
      </c>
      <c r="P384" s="496"/>
      <c r="Q384" s="552"/>
      <c r="R384" s="496"/>
      <c r="S384" s="557">
        <f t="shared" si="17"/>
        <v>0</v>
      </c>
    </row>
    <row r="385" spans="2:19" hidden="1">
      <c r="B385" s="511">
        <v>373</v>
      </c>
      <c r="C385" s="540"/>
      <c r="D385" s="541"/>
      <c r="E385" s="542"/>
      <c r="F385" s="543"/>
      <c r="G385" s="36"/>
      <c r="H385" s="554">
        <f>IF(Consolidado_Geral!$G$133=7.6%,-(0.0165+0.076)*F385,0)</f>
        <v>0</v>
      </c>
      <c r="I385" s="36"/>
      <c r="J385" s="548"/>
      <c r="K385" s="549"/>
      <c r="L385" s="496"/>
      <c r="M385" s="557">
        <f t="shared" si="16"/>
        <v>0</v>
      </c>
      <c r="N385" s="556"/>
      <c r="O385" s="557">
        <f t="shared" si="15"/>
        <v>0</v>
      </c>
      <c r="P385" s="496"/>
      <c r="Q385" s="552"/>
      <c r="R385" s="496"/>
      <c r="S385" s="557">
        <f t="shared" si="17"/>
        <v>0</v>
      </c>
    </row>
    <row r="386" spans="2:19" hidden="1">
      <c r="B386" s="511">
        <v>374</v>
      </c>
      <c r="C386" s="540"/>
      <c r="D386" s="541"/>
      <c r="E386" s="542"/>
      <c r="F386" s="543"/>
      <c r="G386" s="36"/>
      <c r="H386" s="554">
        <f>IF(Consolidado_Geral!$G$133=7.6%,-(0.0165+0.076)*F386,0)</f>
        <v>0</v>
      </c>
      <c r="I386" s="36"/>
      <c r="J386" s="548"/>
      <c r="K386" s="549"/>
      <c r="L386" s="496"/>
      <c r="M386" s="557">
        <f t="shared" si="16"/>
        <v>0</v>
      </c>
      <c r="N386" s="556"/>
      <c r="O386" s="557">
        <f t="shared" si="15"/>
        <v>0</v>
      </c>
      <c r="P386" s="496"/>
      <c r="Q386" s="552"/>
      <c r="R386" s="496"/>
      <c r="S386" s="557">
        <f t="shared" si="17"/>
        <v>0</v>
      </c>
    </row>
    <row r="387" spans="2:19" hidden="1">
      <c r="B387" s="511">
        <v>375</v>
      </c>
      <c r="C387" s="540"/>
      <c r="D387" s="541"/>
      <c r="E387" s="542"/>
      <c r="F387" s="543"/>
      <c r="G387" s="36"/>
      <c r="H387" s="554">
        <f>IF(Consolidado_Geral!$G$133=7.6%,-(0.0165+0.076)*F387,0)</f>
        <v>0</v>
      </c>
      <c r="I387" s="36"/>
      <c r="J387" s="548"/>
      <c r="K387" s="549"/>
      <c r="L387" s="496"/>
      <c r="M387" s="557">
        <f t="shared" si="16"/>
        <v>0</v>
      </c>
      <c r="N387" s="556"/>
      <c r="O387" s="557">
        <f t="shared" si="15"/>
        <v>0</v>
      </c>
      <c r="P387" s="496"/>
      <c r="Q387" s="552"/>
      <c r="R387" s="496"/>
      <c r="S387" s="557">
        <f t="shared" si="17"/>
        <v>0</v>
      </c>
    </row>
    <row r="388" spans="2:19" hidden="1">
      <c r="B388" s="511">
        <v>376</v>
      </c>
      <c r="C388" s="540"/>
      <c r="D388" s="541"/>
      <c r="E388" s="542"/>
      <c r="F388" s="543"/>
      <c r="G388" s="36"/>
      <c r="H388" s="554">
        <f>IF(Consolidado_Geral!$G$133=7.6%,-(0.0165+0.076)*F388,0)</f>
        <v>0</v>
      </c>
      <c r="I388" s="36"/>
      <c r="J388" s="548"/>
      <c r="K388" s="549"/>
      <c r="L388" s="496"/>
      <c r="M388" s="557">
        <f t="shared" si="16"/>
        <v>0</v>
      </c>
      <c r="N388" s="556"/>
      <c r="O388" s="557">
        <f t="shared" si="15"/>
        <v>0</v>
      </c>
      <c r="P388" s="496"/>
      <c r="Q388" s="552"/>
      <c r="R388" s="496"/>
      <c r="S388" s="557">
        <f t="shared" si="17"/>
        <v>0</v>
      </c>
    </row>
    <row r="389" spans="2:19" hidden="1">
      <c r="B389" s="511">
        <v>377</v>
      </c>
      <c r="C389" s="540"/>
      <c r="D389" s="541"/>
      <c r="E389" s="542"/>
      <c r="F389" s="543"/>
      <c r="G389" s="36"/>
      <c r="H389" s="554">
        <f>IF(Consolidado_Geral!$G$133=7.6%,-(0.0165+0.076)*F389,0)</f>
        <v>0</v>
      </c>
      <c r="I389" s="36"/>
      <c r="J389" s="548"/>
      <c r="K389" s="549"/>
      <c r="L389" s="496"/>
      <c r="M389" s="557">
        <f t="shared" si="16"/>
        <v>0</v>
      </c>
      <c r="N389" s="556"/>
      <c r="O389" s="557">
        <f t="shared" si="15"/>
        <v>0</v>
      </c>
      <c r="P389" s="496"/>
      <c r="Q389" s="552"/>
      <c r="R389" s="496"/>
      <c r="S389" s="557">
        <f t="shared" si="17"/>
        <v>0</v>
      </c>
    </row>
    <row r="390" spans="2:19" hidden="1">
      <c r="B390" s="511">
        <v>378</v>
      </c>
      <c r="C390" s="540"/>
      <c r="D390" s="541"/>
      <c r="E390" s="542"/>
      <c r="F390" s="543"/>
      <c r="G390" s="36"/>
      <c r="H390" s="554">
        <f>IF(Consolidado_Geral!$G$133=7.6%,-(0.0165+0.076)*F390,0)</f>
        <v>0</v>
      </c>
      <c r="I390" s="36"/>
      <c r="J390" s="548"/>
      <c r="K390" s="549"/>
      <c r="L390" s="496"/>
      <c r="M390" s="557">
        <f t="shared" si="16"/>
        <v>0</v>
      </c>
      <c r="N390" s="556"/>
      <c r="O390" s="557">
        <f t="shared" si="15"/>
        <v>0</v>
      </c>
      <c r="P390" s="496"/>
      <c r="Q390" s="552"/>
      <c r="R390" s="496"/>
      <c r="S390" s="557">
        <f t="shared" si="17"/>
        <v>0</v>
      </c>
    </row>
    <row r="391" spans="2:19" hidden="1">
      <c r="B391" s="511">
        <v>379</v>
      </c>
      <c r="C391" s="540"/>
      <c r="D391" s="541"/>
      <c r="E391" s="542"/>
      <c r="F391" s="543"/>
      <c r="G391" s="36"/>
      <c r="H391" s="554">
        <f>IF(Consolidado_Geral!$G$133=7.6%,-(0.0165+0.076)*F391,0)</f>
        <v>0</v>
      </c>
      <c r="I391" s="36"/>
      <c r="J391" s="548"/>
      <c r="K391" s="549"/>
      <c r="L391" s="496"/>
      <c r="M391" s="557">
        <f t="shared" si="16"/>
        <v>0</v>
      </c>
      <c r="N391" s="556"/>
      <c r="O391" s="557">
        <f t="shared" si="15"/>
        <v>0</v>
      </c>
      <c r="P391" s="496"/>
      <c r="Q391" s="552"/>
      <c r="R391" s="496"/>
      <c r="S391" s="557">
        <f t="shared" si="17"/>
        <v>0</v>
      </c>
    </row>
    <row r="392" spans="2:19" hidden="1">
      <c r="B392" s="511">
        <v>380</v>
      </c>
      <c r="C392" s="540"/>
      <c r="D392" s="541"/>
      <c r="E392" s="542"/>
      <c r="F392" s="543"/>
      <c r="G392" s="36"/>
      <c r="H392" s="554">
        <f>IF(Consolidado_Geral!$G$133=7.6%,-(0.0165+0.076)*F392,0)</f>
        <v>0</v>
      </c>
      <c r="I392" s="36"/>
      <c r="J392" s="548"/>
      <c r="K392" s="549"/>
      <c r="L392" s="496"/>
      <c r="M392" s="557">
        <f t="shared" si="16"/>
        <v>0</v>
      </c>
      <c r="N392" s="556"/>
      <c r="O392" s="557">
        <f t="shared" si="15"/>
        <v>0</v>
      </c>
      <c r="P392" s="496"/>
      <c r="Q392" s="552"/>
      <c r="R392" s="496"/>
      <c r="S392" s="557">
        <f t="shared" si="17"/>
        <v>0</v>
      </c>
    </row>
    <row r="393" spans="2:19" hidden="1">
      <c r="B393" s="511">
        <v>381</v>
      </c>
      <c r="C393" s="540"/>
      <c r="D393" s="541"/>
      <c r="E393" s="542"/>
      <c r="F393" s="543"/>
      <c r="G393" s="36"/>
      <c r="H393" s="554">
        <f>IF(Consolidado_Geral!$G$133=7.6%,-(0.0165+0.076)*F393,0)</f>
        <v>0</v>
      </c>
      <c r="I393" s="36"/>
      <c r="J393" s="548"/>
      <c r="K393" s="549"/>
      <c r="L393" s="496"/>
      <c r="M393" s="557">
        <f t="shared" si="16"/>
        <v>0</v>
      </c>
      <c r="N393" s="556"/>
      <c r="O393" s="557">
        <f t="shared" si="15"/>
        <v>0</v>
      </c>
      <c r="Q393" s="552"/>
      <c r="S393" s="557">
        <f t="shared" si="17"/>
        <v>0</v>
      </c>
    </row>
    <row r="394" spans="2:19" hidden="1">
      <c r="B394" s="511">
        <v>382</v>
      </c>
      <c r="C394" s="540"/>
      <c r="D394" s="541"/>
      <c r="E394" s="542"/>
      <c r="F394" s="543"/>
      <c r="G394" s="36"/>
      <c r="H394" s="554">
        <f>IF(Consolidado_Geral!$G$133=7.6%,-(0.0165+0.076)*F394,0)</f>
        <v>0</v>
      </c>
      <c r="I394" s="36"/>
      <c r="J394" s="548"/>
      <c r="K394" s="549"/>
      <c r="L394" s="496"/>
      <c r="M394" s="557">
        <f t="shared" si="16"/>
        <v>0</v>
      </c>
      <c r="N394" s="556"/>
      <c r="O394" s="557">
        <f t="shared" si="15"/>
        <v>0</v>
      </c>
      <c r="Q394" s="552"/>
      <c r="S394" s="557">
        <f t="shared" si="17"/>
        <v>0</v>
      </c>
    </row>
    <row r="395" spans="2:19" hidden="1">
      <c r="B395" s="511">
        <v>383</v>
      </c>
      <c r="C395" s="540"/>
      <c r="D395" s="541"/>
      <c r="E395" s="542"/>
      <c r="F395" s="543"/>
      <c r="G395" s="36"/>
      <c r="H395" s="554">
        <f>IF(Consolidado_Geral!$G$133=7.6%,-(0.0165+0.076)*F395,0)</f>
        <v>0</v>
      </c>
      <c r="I395" s="36"/>
      <c r="J395" s="548"/>
      <c r="K395" s="549"/>
      <c r="L395" s="496"/>
      <c r="M395" s="557">
        <f t="shared" si="16"/>
        <v>0</v>
      </c>
      <c r="N395" s="556"/>
      <c r="O395" s="557">
        <f t="shared" si="15"/>
        <v>0</v>
      </c>
      <c r="Q395" s="552"/>
      <c r="S395" s="557">
        <f t="shared" si="17"/>
        <v>0</v>
      </c>
    </row>
    <row r="396" spans="2:19" hidden="1">
      <c r="B396" s="511">
        <v>384</v>
      </c>
      <c r="C396" s="540"/>
      <c r="D396" s="541"/>
      <c r="E396" s="542"/>
      <c r="F396" s="543"/>
      <c r="G396" s="36"/>
      <c r="H396" s="554">
        <f>IF(Consolidado_Geral!$G$133=7.6%,-(0.0165+0.076)*F396,0)</f>
        <v>0</v>
      </c>
      <c r="I396" s="36"/>
      <c r="J396" s="548"/>
      <c r="K396" s="549"/>
      <c r="L396" s="496"/>
      <c r="M396" s="557">
        <f t="shared" si="16"/>
        <v>0</v>
      </c>
      <c r="N396" s="556"/>
      <c r="O396" s="557">
        <f t="shared" si="15"/>
        <v>0</v>
      </c>
      <c r="Q396" s="552"/>
      <c r="S396" s="557">
        <f t="shared" si="17"/>
        <v>0</v>
      </c>
    </row>
    <row r="397" spans="2:19" hidden="1">
      <c r="B397" s="511">
        <v>385</v>
      </c>
      <c r="C397" s="540"/>
      <c r="D397" s="541"/>
      <c r="E397" s="542"/>
      <c r="F397" s="543"/>
      <c r="G397" s="36"/>
      <c r="H397" s="554">
        <f>IF(Consolidado_Geral!$G$133=7.6%,-(0.0165+0.076)*F397,0)</f>
        <v>0</v>
      </c>
      <c r="I397" s="36"/>
      <c r="J397" s="548"/>
      <c r="K397" s="549"/>
      <c r="L397" s="496"/>
      <c r="M397" s="557">
        <f t="shared" si="16"/>
        <v>0</v>
      </c>
      <c r="N397" s="556"/>
      <c r="O397" s="557">
        <f t="shared" ref="O397:O462" si="18">IF(E397=0,0,(M397/K397)*E397)</f>
        <v>0</v>
      </c>
      <c r="Q397" s="552"/>
      <c r="S397" s="557">
        <f t="shared" si="17"/>
        <v>0</v>
      </c>
    </row>
    <row r="398" spans="2:19" hidden="1">
      <c r="B398" s="511">
        <v>386</v>
      </c>
      <c r="C398" s="540"/>
      <c r="D398" s="541"/>
      <c r="E398" s="542"/>
      <c r="F398" s="543"/>
      <c r="G398" s="36"/>
      <c r="H398" s="554">
        <f>IF(Consolidado_Geral!$G$133=7.6%,-(0.0165+0.076)*F398,0)</f>
        <v>0</v>
      </c>
      <c r="I398" s="36"/>
      <c r="J398" s="548"/>
      <c r="K398" s="549"/>
      <c r="L398" s="496"/>
      <c r="M398" s="557">
        <f t="shared" ref="M398:M461" si="19">IF(E398&gt;0,(F398+H398)-J398,0)</f>
        <v>0</v>
      </c>
      <c r="N398" s="556"/>
      <c r="O398" s="557">
        <f t="shared" si="18"/>
        <v>0</v>
      </c>
      <c r="Q398" s="552"/>
      <c r="S398" s="557">
        <f t="shared" ref="S398:S461" si="20">E398*(M398*Q398)</f>
        <v>0</v>
      </c>
    </row>
    <row r="399" spans="2:19" hidden="1">
      <c r="B399" s="511">
        <v>387</v>
      </c>
      <c r="C399" s="540"/>
      <c r="D399" s="541"/>
      <c r="E399" s="542"/>
      <c r="F399" s="543"/>
      <c r="G399" s="36"/>
      <c r="H399" s="554">
        <f>IF(Consolidado_Geral!$G$133=7.6%,-(0.0165+0.076)*F399,0)</f>
        <v>0</v>
      </c>
      <c r="I399" s="36"/>
      <c r="J399" s="548"/>
      <c r="K399" s="549"/>
      <c r="L399" s="496"/>
      <c r="M399" s="557">
        <f t="shared" si="19"/>
        <v>0</v>
      </c>
      <c r="N399" s="556"/>
      <c r="O399" s="557">
        <f t="shared" si="18"/>
        <v>0</v>
      </c>
      <c r="Q399" s="552"/>
      <c r="S399" s="557">
        <f t="shared" si="20"/>
        <v>0</v>
      </c>
    </row>
    <row r="400" spans="2:19" hidden="1">
      <c r="B400" s="511">
        <v>388</v>
      </c>
      <c r="C400" s="540"/>
      <c r="D400" s="541"/>
      <c r="E400" s="542"/>
      <c r="F400" s="543"/>
      <c r="G400" s="36"/>
      <c r="H400" s="554">
        <f>IF(Consolidado_Geral!$G$133=7.6%,-(0.0165+0.076)*F400,0)</f>
        <v>0</v>
      </c>
      <c r="I400" s="36"/>
      <c r="J400" s="548"/>
      <c r="K400" s="549"/>
      <c r="L400" s="496"/>
      <c r="M400" s="557">
        <f t="shared" si="19"/>
        <v>0</v>
      </c>
      <c r="N400" s="556"/>
      <c r="O400" s="557">
        <f t="shared" si="18"/>
        <v>0</v>
      </c>
      <c r="Q400" s="552"/>
      <c r="S400" s="557">
        <f t="shared" si="20"/>
        <v>0</v>
      </c>
    </row>
    <row r="401" spans="2:19" hidden="1">
      <c r="B401" s="511">
        <v>389</v>
      </c>
      <c r="C401" s="540"/>
      <c r="D401" s="541"/>
      <c r="E401" s="542"/>
      <c r="F401" s="543"/>
      <c r="G401" s="36"/>
      <c r="H401" s="554">
        <f>IF(Consolidado_Geral!$G$133=7.6%,-(0.0165+0.076)*F401,0)</f>
        <v>0</v>
      </c>
      <c r="I401" s="36"/>
      <c r="J401" s="548"/>
      <c r="K401" s="549"/>
      <c r="L401" s="496"/>
      <c r="M401" s="557">
        <f t="shared" si="19"/>
        <v>0</v>
      </c>
      <c r="N401" s="556"/>
      <c r="O401" s="557">
        <f t="shared" si="18"/>
        <v>0</v>
      </c>
      <c r="Q401" s="552"/>
      <c r="S401" s="557">
        <f t="shared" si="20"/>
        <v>0</v>
      </c>
    </row>
    <row r="402" spans="2:19" hidden="1">
      <c r="B402" s="511">
        <v>390</v>
      </c>
      <c r="C402" s="540"/>
      <c r="D402" s="541"/>
      <c r="E402" s="542"/>
      <c r="F402" s="543"/>
      <c r="G402" s="36"/>
      <c r="H402" s="554">
        <f>IF(Consolidado_Geral!$G$133=7.6%,-(0.0165+0.076)*F402,0)</f>
        <v>0</v>
      </c>
      <c r="I402" s="36"/>
      <c r="J402" s="548"/>
      <c r="K402" s="549"/>
      <c r="L402" s="496"/>
      <c r="M402" s="557">
        <f t="shared" si="19"/>
        <v>0</v>
      </c>
      <c r="N402" s="556"/>
      <c r="O402" s="557">
        <f t="shared" si="18"/>
        <v>0</v>
      </c>
      <c r="Q402" s="552"/>
      <c r="S402" s="557">
        <f t="shared" si="20"/>
        <v>0</v>
      </c>
    </row>
    <row r="403" spans="2:19" hidden="1">
      <c r="B403" s="511">
        <v>391</v>
      </c>
      <c r="C403" s="540"/>
      <c r="D403" s="541"/>
      <c r="E403" s="542"/>
      <c r="F403" s="543"/>
      <c r="G403" s="36"/>
      <c r="H403" s="554">
        <f>IF(Consolidado_Geral!$G$133=7.6%,-(0.0165+0.076)*F403,0)</f>
        <v>0</v>
      </c>
      <c r="I403" s="36"/>
      <c r="J403" s="548"/>
      <c r="K403" s="549"/>
      <c r="L403" s="496"/>
      <c r="M403" s="557">
        <f t="shared" si="19"/>
        <v>0</v>
      </c>
      <c r="N403" s="556"/>
      <c r="O403" s="557">
        <f t="shared" si="18"/>
        <v>0</v>
      </c>
      <c r="Q403" s="552"/>
      <c r="S403" s="557">
        <f t="shared" si="20"/>
        <v>0</v>
      </c>
    </row>
    <row r="404" spans="2:19" hidden="1">
      <c r="B404" s="511">
        <v>392</v>
      </c>
      <c r="C404" s="540"/>
      <c r="D404" s="541"/>
      <c r="E404" s="542"/>
      <c r="F404" s="543"/>
      <c r="G404" s="36"/>
      <c r="H404" s="554">
        <f>IF(Consolidado_Geral!$G$133=7.6%,-(0.0165+0.076)*F404,0)</f>
        <v>0</v>
      </c>
      <c r="I404" s="36"/>
      <c r="J404" s="548"/>
      <c r="K404" s="549"/>
      <c r="L404" s="496"/>
      <c r="M404" s="557">
        <f t="shared" si="19"/>
        <v>0</v>
      </c>
      <c r="N404" s="556"/>
      <c r="O404" s="557">
        <f t="shared" si="18"/>
        <v>0</v>
      </c>
      <c r="Q404" s="552"/>
      <c r="S404" s="557">
        <f t="shared" si="20"/>
        <v>0</v>
      </c>
    </row>
    <row r="405" spans="2:19" hidden="1">
      <c r="B405" s="511">
        <v>393</v>
      </c>
      <c r="C405" s="540"/>
      <c r="D405" s="541"/>
      <c r="E405" s="542"/>
      <c r="F405" s="543"/>
      <c r="G405" s="36"/>
      <c r="H405" s="554">
        <f>IF(Consolidado_Geral!$G$133=7.6%,-(0.0165+0.076)*F405,0)</f>
        <v>0</v>
      </c>
      <c r="I405" s="36"/>
      <c r="J405" s="548"/>
      <c r="K405" s="549"/>
      <c r="L405" s="496"/>
      <c r="M405" s="557">
        <f t="shared" si="19"/>
        <v>0</v>
      </c>
      <c r="N405" s="556"/>
      <c r="O405" s="557">
        <f t="shared" si="18"/>
        <v>0</v>
      </c>
      <c r="Q405" s="552"/>
      <c r="S405" s="557">
        <f t="shared" si="20"/>
        <v>0</v>
      </c>
    </row>
    <row r="406" spans="2:19" hidden="1">
      <c r="B406" s="511">
        <v>394</v>
      </c>
      <c r="C406" s="540"/>
      <c r="D406" s="541"/>
      <c r="E406" s="542"/>
      <c r="F406" s="543"/>
      <c r="G406" s="36"/>
      <c r="H406" s="554">
        <f>IF(Consolidado_Geral!$G$133=7.6%,-(0.0165+0.076)*F406,0)</f>
        <v>0</v>
      </c>
      <c r="I406" s="36"/>
      <c r="J406" s="548"/>
      <c r="K406" s="549"/>
      <c r="L406" s="496"/>
      <c r="M406" s="557">
        <f t="shared" si="19"/>
        <v>0</v>
      </c>
      <c r="N406" s="556"/>
      <c r="O406" s="557">
        <f t="shared" si="18"/>
        <v>0</v>
      </c>
      <c r="Q406" s="552"/>
      <c r="S406" s="557">
        <f t="shared" si="20"/>
        <v>0</v>
      </c>
    </row>
    <row r="407" spans="2:19" hidden="1">
      <c r="B407" s="511">
        <v>395</v>
      </c>
      <c r="C407" s="540"/>
      <c r="D407" s="541"/>
      <c r="E407" s="542"/>
      <c r="F407" s="543"/>
      <c r="G407" s="36"/>
      <c r="H407" s="554">
        <f>IF(Consolidado_Geral!$G$133=7.6%,-(0.0165+0.076)*F407,0)</f>
        <v>0</v>
      </c>
      <c r="I407" s="36"/>
      <c r="J407" s="548"/>
      <c r="K407" s="549"/>
      <c r="L407" s="496"/>
      <c r="M407" s="557">
        <f t="shared" si="19"/>
        <v>0</v>
      </c>
      <c r="N407" s="556"/>
      <c r="O407" s="557">
        <f t="shared" si="18"/>
        <v>0</v>
      </c>
      <c r="Q407" s="552"/>
      <c r="S407" s="557">
        <f t="shared" si="20"/>
        <v>0</v>
      </c>
    </row>
    <row r="408" spans="2:19" hidden="1">
      <c r="B408" s="511">
        <v>396</v>
      </c>
      <c r="C408" s="540"/>
      <c r="D408" s="541"/>
      <c r="E408" s="542"/>
      <c r="F408" s="543"/>
      <c r="G408" s="36"/>
      <c r="H408" s="554">
        <f>IF(Consolidado_Geral!$G$133=7.6%,-(0.0165+0.076)*F408,0)</f>
        <v>0</v>
      </c>
      <c r="I408" s="36"/>
      <c r="J408" s="548"/>
      <c r="K408" s="549"/>
      <c r="L408" s="496"/>
      <c r="M408" s="557">
        <f t="shared" si="19"/>
        <v>0</v>
      </c>
      <c r="N408" s="556"/>
      <c r="O408" s="557">
        <f t="shared" si="18"/>
        <v>0</v>
      </c>
      <c r="P408" s="496"/>
      <c r="Q408" s="552"/>
      <c r="R408" s="496"/>
      <c r="S408" s="557">
        <f t="shared" si="20"/>
        <v>0</v>
      </c>
    </row>
    <row r="409" spans="2:19" hidden="1">
      <c r="B409" s="511">
        <v>397</v>
      </c>
      <c r="C409" s="540"/>
      <c r="D409" s="541"/>
      <c r="E409" s="542"/>
      <c r="F409" s="543"/>
      <c r="G409" s="36"/>
      <c r="H409" s="554">
        <f>IF(Consolidado_Geral!$G$133=7.6%,-(0.0165+0.076)*F409,0)</f>
        <v>0</v>
      </c>
      <c r="I409" s="36"/>
      <c r="J409" s="548"/>
      <c r="K409" s="549"/>
      <c r="L409" s="496"/>
      <c r="M409" s="557">
        <f t="shared" si="19"/>
        <v>0</v>
      </c>
      <c r="N409" s="556"/>
      <c r="O409" s="557">
        <f t="shared" si="18"/>
        <v>0</v>
      </c>
      <c r="Q409" s="552"/>
      <c r="S409" s="557">
        <f t="shared" si="20"/>
        <v>0</v>
      </c>
    </row>
    <row r="410" spans="2:19" hidden="1">
      <c r="B410" s="511">
        <v>398</v>
      </c>
      <c r="C410" s="540"/>
      <c r="D410" s="541"/>
      <c r="E410" s="542"/>
      <c r="F410" s="543"/>
      <c r="G410" s="36"/>
      <c r="H410" s="554">
        <f>IF(Consolidado_Geral!$G$133=7.6%,-(0.0165+0.076)*F410,0)</f>
        <v>0</v>
      </c>
      <c r="I410" s="36"/>
      <c r="J410" s="548"/>
      <c r="K410" s="549"/>
      <c r="L410" s="496"/>
      <c r="M410" s="557">
        <f t="shared" si="19"/>
        <v>0</v>
      </c>
      <c r="N410" s="556"/>
      <c r="O410" s="557">
        <f t="shared" si="18"/>
        <v>0</v>
      </c>
      <c r="Q410" s="552"/>
      <c r="S410" s="557">
        <f t="shared" si="20"/>
        <v>0</v>
      </c>
    </row>
    <row r="411" spans="2:19" hidden="1">
      <c r="B411" s="511">
        <v>399</v>
      </c>
      <c r="C411" s="540"/>
      <c r="D411" s="541"/>
      <c r="E411" s="542"/>
      <c r="F411" s="543"/>
      <c r="G411" s="36"/>
      <c r="H411" s="554">
        <f>IF(Consolidado_Geral!$G$133=7.6%,-(0.0165+0.076)*F411,0)</f>
        <v>0</v>
      </c>
      <c r="I411" s="36"/>
      <c r="J411" s="548"/>
      <c r="K411" s="549"/>
      <c r="L411" s="496"/>
      <c r="M411" s="557">
        <f t="shared" si="19"/>
        <v>0</v>
      </c>
      <c r="N411" s="556"/>
      <c r="O411" s="557">
        <f t="shared" si="18"/>
        <v>0</v>
      </c>
      <c r="Q411" s="552"/>
      <c r="S411" s="557">
        <f t="shared" si="20"/>
        <v>0</v>
      </c>
    </row>
    <row r="412" spans="2:19" hidden="1">
      <c r="B412" s="511">
        <v>400</v>
      </c>
      <c r="C412" s="540"/>
      <c r="D412" s="541"/>
      <c r="E412" s="542"/>
      <c r="F412" s="543"/>
      <c r="G412" s="36"/>
      <c r="H412" s="554">
        <f>IF(Consolidado_Geral!$G$133=7.6%,-(0.0165+0.076)*F412,0)</f>
        <v>0</v>
      </c>
      <c r="I412" s="36"/>
      <c r="J412" s="548"/>
      <c r="K412" s="549"/>
      <c r="L412" s="496"/>
      <c r="M412" s="557">
        <f t="shared" si="19"/>
        <v>0</v>
      </c>
      <c r="N412" s="556"/>
      <c r="O412" s="557">
        <f t="shared" si="18"/>
        <v>0</v>
      </c>
      <c r="Q412" s="552"/>
      <c r="S412" s="557">
        <f t="shared" si="20"/>
        <v>0</v>
      </c>
    </row>
    <row r="413" spans="2:19" hidden="1">
      <c r="B413" s="511">
        <v>401</v>
      </c>
      <c r="C413" s="540"/>
      <c r="D413" s="541"/>
      <c r="E413" s="542"/>
      <c r="F413" s="543"/>
      <c r="G413" s="36"/>
      <c r="H413" s="554">
        <f>IF(Consolidado_Geral!$G$133=7.6%,-(0.0165+0.076)*F413,0)</f>
        <v>0</v>
      </c>
      <c r="I413" s="36"/>
      <c r="J413" s="548"/>
      <c r="K413" s="549"/>
      <c r="L413" s="496"/>
      <c r="M413" s="557">
        <f t="shared" si="19"/>
        <v>0</v>
      </c>
      <c r="N413" s="556"/>
      <c r="O413" s="557">
        <f t="shared" si="18"/>
        <v>0</v>
      </c>
      <c r="Q413" s="552"/>
      <c r="S413" s="557">
        <f t="shared" si="20"/>
        <v>0</v>
      </c>
    </row>
    <row r="414" spans="2:19" hidden="1">
      <c r="B414" s="511">
        <v>402</v>
      </c>
      <c r="C414" s="540"/>
      <c r="D414" s="541"/>
      <c r="E414" s="542"/>
      <c r="F414" s="543"/>
      <c r="G414" s="36"/>
      <c r="H414" s="554">
        <f>IF(Consolidado_Geral!$G$133=7.6%,-(0.0165+0.076)*F414,0)</f>
        <v>0</v>
      </c>
      <c r="I414" s="36"/>
      <c r="J414" s="548"/>
      <c r="K414" s="549"/>
      <c r="L414" s="496"/>
      <c r="M414" s="557">
        <f t="shared" si="19"/>
        <v>0</v>
      </c>
      <c r="N414" s="556"/>
      <c r="O414" s="557">
        <f t="shared" si="18"/>
        <v>0</v>
      </c>
      <c r="Q414" s="552"/>
      <c r="S414" s="557">
        <f t="shared" si="20"/>
        <v>0</v>
      </c>
    </row>
    <row r="415" spans="2:19" hidden="1">
      <c r="B415" s="511">
        <v>403</v>
      </c>
      <c r="C415" s="540"/>
      <c r="D415" s="541"/>
      <c r="E415" s="542"/>
      <c r="F415" s="543"/>
      <c r="G415" s="36"/>
      <c r="H415" s="554">
        <f>IF(Consolidado_Geral!$G$133=7.6%,-(0.0165+0.076)*F415,0)</f>
        <v>0</v>
      </c>
      <c r="I415" s="36"/>
      <c r="J415" s="548"/>
      <c r="K415" s="549"/>
      <c r="L415" s="496"/>
      <c r="M415" s="557">
        <f t="shared" si="19"/>
        <v>0</v>
      </c>
      <c r="N415" s="556"/>
      <c r="O415" s="557">
        <f t="shared" si="18"/>
        <v>0</v>
      </c>
      <c r="Q415" s="552"/>
      <c r="S415" s="557">
        <f t="shared" si="20"/>
        <v>0</v>
      </c>
    </row>
    <row r="416" spans="2:19" hidden="1">
      <c r="B416" s="511">
        <v>404</v>
      </c>
      <c r="C416" s="540"/>
      <c r="D416" s="541"/>
      <c r="E416" s="542"/>
      <c r="F416" s="543"/>
      <c r="G416" s="36"/>
      <c r="H416" s="554">
        <f>IF(Consolidado_Geral!$G$133=7.6%,-(0.0165+0.076)*F416,0)</f>
        <v>0</v>
      </c>
      <c r="I416" s="36"/>
      <c r="J416" s="548"/>
      <c r="K416" s="549"/>
      <c r="L416" s="496"/>
      <c r="M416" s="557">
        <f t="shared" si="19"/>
        <v>0</v>
      </c>
      <c r="N416" s="556"/>
      <c r="O416" s="557">
        <f t="shared" si="18"/>
        <v>0</v>
      </c>
      <c r="Q416" s="552"/>
      <c r="S416" s="557">
        <f t="shared" si="20"/>
        <v>0</v>
      </c>
    </row>
    <row r="417" spans="2:19" hidden="1">
      <c r="B417" s="511">
        <v>405</v>
      </c>
      <c r="C417" s="540"/>
      <c r="D417" s="541"/>
      <c r="E417" s="542"/>
      <c r="F417" s="543"/>
      <c r="G417" s="36"/>
      <c r="H417" s="554">
        <f>IF(Consolidado_Geral!$G$133=7.6%,-(0.0165+0.076)*F417,0)</f>
        <v>0</v>
      </c>
      <c r="I417" s="36"/>
      <c r="J417" s="548"/>
      <c r="K417" s="549"/>
      <c r="L417" s="496"/>
      <c r="M417" s="557">
        <f t="shared" si="19"/>
        <v>0</v>
      </c>
      <c r="N417" s="556"/>
      <c r="O417" s="557">
        <f t="shared" si="18"/>
        <v>0</v>
      </c>
      <c r="Q417" s="552"/>
      <c r="S417" s="557">
        <f t="shared" si="20"/>
        <v>0</v>
      </c>
    </row>
    <row r="418" spans="2:19" hidden="1">
      <c r="B418" s="511">
        <v>406</v>
      </c>
      <c r="C418" s="540"/>
      <c r="D418" s="541"/>
      <c r="E418" s="542"/>
      <c r="F418" s="543"/>
      <c r="G418" s="36"/>
      <c r="H418" s="554">
        <f>IF(Consolidado_Geral!$G$133=7.6%,-(0.0165+0.076)*F418,0)</f>
        <v>0</v>
      </c>
      <c r="I418" s="36"/>
      <c r="J418" s="548"/>
      <c r="K418" s="549"/>
      <c r="L418" s="496"/>
      <c r="M418" s="557">
        <f t="shared" si="19"/>
        <v>0</v>
      </c>
      <c r="N418" s="556"/>
      <c r="O418" s="557">
        <f t="shared" si="18"/>
        <v>0</v>
      </c>
      <c r="Q418" s="552"/>
      <c r="S418" s="557">
        <f t="shared" si="20"/>
        <v>0</v>
      </c>
    </row>
    <row r="419" spans="2:19" hidden="1">
      <c r="B419" s="511">
        <v>407</v>
      </c>
      <c r="C419" s="540"/>
      <c r="D419" s="541"/>
      <c r="E419" s="542"/>
      <c r="F419" s="543"/>
      <c r="G419" s="36"/>
      <c r="H419" s="554">
        <f>IF(Consolidado_Geral!$G$133=7.6%,-(0.0165+0.076)*F419,0)</f>
        <v>0</v>
      </c>
      <c r="I419" s="36"/>
      <c r="J419" s="548"/>
      <c r="K419" s="549"/>
      <c r="L419" s="496"/>
      <c r="M419" s="557">
        <f t="shared" si="19"/>
        <v>0</v>
      </c>
      <c r="N419" s="556"/>
      <c r="O419" s="557">
        <f t="shared" si="18"/>
        <v>0</v>
      </c>
      <c r="Q419" s="552"/>
      <c r="S419" s="557">
        <f t="shared" si="20"/>
        <v>0</v>
      </c>
    </row>
    <row r="420" spans="2:19" hidden="1">
      <c r="B420" s="511">
        <v>408</v>
      </c>
      <c r="C420" s="540"/>
      <c r="D420" s="541"/>
      <c r="E420" s="542"/>
      <c r="F420" s="543"/>
      <c r="G420" s="36"/>
      <c r="H420" s="554">
        <f>IF(Consolidado_Geral!$G$133=7.6%,-(0.0165+0.076)*F420,0)</f>
        <v>0</v>
      </c>
      <c r="I420" s="36"/>
      <c r="J420" s="548"/>
      <c r="K420" s="549"/>
      <c r="L420" s="496"/>
      <c r="M420" s="557">
        <f t="shared" si="19"/>
        <v>0</v>
      </c>
      <c r="N420" s="556"/>
      <c r="O420" s="557">
        <f t="shared" si="18"/>
        <v>0</v>
      </c>
      <c r="Q420" s="552"/>
      <c r="S420" s="557">
        <f t="shared" si="20"/>
        <v>0</v>
      </c>
    </row>
    <row r="421" spans="2:19" hidden="1">
      <c r="B421" s="511">
        <v>409</v>
      </c>
      <c r="C421" s="540"/>
      <c r="D421" s="541"/>
      <c r="E421" s="542"/>
      <c r="F421" s="543"/>
      <c r="G421" s="36"/>
      <c r="H421" s="554">
        <f>IF(Consolidado_Geral!$G$133=7.6%,-(0.0165+0.076)*F421,0)</f>
        <v>0</v>
      </c>
      <c r="I421" s="36"/>
      <c r="J421" s="548"/>
      <c r="K421" s="549"/>
      <c r="L421" s="496"/>
      <c r="M421" s="557">
        <f t="shared" si="19"/>
        <v>0</v>
      </c>
      <c r="N421" s="556"/>
      <c r="O421" s="557">
        <f t="shared" si="18"/>
        <v>0</v>
      </c>
      <c r="Q421" s="552"/>
      <c r="S421" s="557">
        <f t="shared" si="20"/>
        <v>0</v>
      </c>
    </row>
    <row r="422" spans="2:19" hidden="1">
      <c r="B422" s="511">
        <v>410</v>
      </c>
      <c r="C422" s="540"/>
      <c r="D422" s="541"/>
      <c r="E422" s="542"/>
      <c r="F422" s="543"/>
      <c r="G422" s="36"/>
      <c r="H422" s="554">
        <f>IF(Consolidado_Geral!$G$133=7.6%,-(0.0165+0.076)*F422,0)</f>
        <v>0</v>
      </c>
      <c r="I422" s="36"/>
      <c r="J422" s="548"/>
      <c r="K422" s="549"/>
      <c r="L422" s="496"/>
      <c r="M422" s="557">
        <f t="shared" si="19"/>
        <v>0</v>
      </c>
      <c r="N422" s="556"/>
      <c r="O422" s="557">
        <f t="shared" si="18"/>
        <v>0</v>
      </c>
      <c r="P422" s="496"/>
      <c r="Q422" s="552"/>
      <c r="R422" s="496"/>
      <c r="S422" s="557">
        <f t="shared" si="20"/>
        <v>0</v>
      </c>
    </row>
    <row r="423" spans="2:19" hidden="1">
      <c r="B423" s="511">
        <v>411</v>
      </c>
      <c r="C423" s="540"/>
      <c r="D423" s="541"/>
      <c r="E423" s="542"/>
      <c r="F423" s="543"/>
      <c r="G423" s="36"/>
      <c r="H423" s="554">
        <f>IF(Consolidado_Geral!$G$133=7.6%,-(0.0165+0.076)*F423,0)</f>
        <v>0</v>
      </c>
      <c r="I423" s="36"/>
      <c r="J423" s="548"/>
      <c r="K423" s="549"/>
      <c r="L423" s="496"/>
      <c r="M423" s="557">
        <f t="shared" si="19"/>
        <v>0</v>
      </c>
      <c r="N423" s="556"/>
      <c r="O423" s="557">
        <f t="shared" si="18"/>
        <v>0</v>
      </c>
      <c r="P423" s="496"/>
      <c r="Q423" s="552"/>
      <c r="R423" s="496"/>
      <c r="S423" s="557">
        <f t="shared" si="20"/>
        <v>0</v>
      </c>
    </row>
    <row r="424" spans="2:19" hidden="1">
      <c r="B424" s="511">
        <v>412</v>
      </c>
      <c r="C424" s="540"/>
      <c r="D424" s="541"/>
      <c r="E424" s="542"/>
      <c r="F424" s="543"/>
      <c r="G424" s="36"/>
      <c r="H424" s="554">
        <f>IF(Consolidado_Geral!$G$133=7.6%,-(0.0165+0.076)*F424,0)</f>
        <v>0</v>
      </c>
      <c r="I424" s="36"/>
      <c r="J424" s="548"/>
      <c r="K424" s="549"/>
      <c r="L424" s="496"/>
      <c r="M424" s="557">
        <f t="shared" si="19"/>
        <v>0</v>
      </c>
      <c r="N424" s="556"/>
      <c r="O424" s="557">
        <f t="shared" si="18"/>
        <v>0</v>
      </c>
      <c r="P424" s="496"/>
      <c r="Q424" s="552"/>
      <c r="R424" s="496"/>
      <c r="S424" s="557">
        <f t="shared" si="20"/>
        <v>0</v>
      </c>
    </row>
    <row r="425" spans="2:19" hidden="1">
      <c r="B425" s="511">
        <v>413</v>
      </c>
      <c r="C425" s="540"/>
      <c r="D425" s="541"/>
      <c r="E425" s="542"/>
      <c r="F425" s="543"/>
      <c r="G425" s="36"/>
      <c r="H425" s="554">
        <f>IF(Consolidado_Geral!$G$133=7.6%,-(0.0165+0.076)*F425,0)</f>
        <v>0</v>
      </c>
      <c r="I425" s="36"/>
      <c r="J425" s="548"/>
      <c r="K425" s="549"/>
      <c r="L425" s="496"/>
      <c r="M425" s="557">
        <f t="shared" si="19"/>
        <v>0</v>
      </c>
      <c r="N425" s="556"/>
      <c r="O425" s="557">
        <f t="shared" si="18"/>
        <v>0</v>
      </c>
      <c r="P425" s="496"/>
      <c r="Q425" s="552"/>
      <c r="R425" s="496"/>
      <c r="S425" s="557">
        <f t="shared" si="20"/>
        <v>0</v>
      </c>
    </row>
    <row r="426" spans="2:19" hidden="1">
      <c r="B426" s="511">
        <v>414</v>
      </c>
      <c r="C426" s="540"/>
      <c r="D426" s="541"/>
      <c r="E426" s="542"/>
      <c r="F426" s="543"/>
      <c r="G426" s="36"/>
      <c r="H426" s="554">
        <f>IF(Consolidado_Geral!$G$133=7.6%,-(0.0165+0.076)*F426,0)</f>
        <v>0</v>
      </c>
      <c r="I426" s="36"/>
      <c r="J426" s="548"/>
      <c r="K426" s="549"/>
      <c r="L426" s="496"/>
      <c r="M426" s="557">
        <f t="shared" si="19"/>
        <v>0</v>
      </c>
      <c r="N426" s="556"/>
      <c r="O426" s="557">
        <f t="shared" si="18"/>
        <v>0</v>
      </c>
      <c r="P426" s="496"/>
      <c r="Q426" s="552"/>
      <c r="R426" s="496"/>
      <c r="S426" s="557">
        <f t="shared" si="20"/>
        <v>0</v>
      </c>
    </row>
    <row r="427" spans="2:19" hidden="1">
      <c r="B427" s="511">
        <v>415</v>
      </c>
      <c r="C427" s="540"/>
      <c r="D427" s="541"/>
      <c r="E427" s="542"/>
      <c r="F427" s="543"/>
      <c r="G427" s="36"/>
      <c r="H427" s="554">
        <f>IF(Consolidado_Geral!$G$133=7.6%,-(0.0165+0.076)*F427,0)</f>
        <v>0</v>
      </c>
      <c r="I427" s="36"/>
      <c r="J427" s="548"/>
      <c r="K427" s="549"/>
      <c r="L427" s="496"/>
      <c r="M427" s="557">
        <f t="shared" si="19"/>
        <v>0</v>
      </c>
      <c r="N427" s="556"/>
      <c r="O427" s="557">
        <f t="shared" si="18"/>
        <v>0</v>
      </c>
      <c r="P427" s="496"/>
      <c r="Q427" s="552"/>
      <c r="R427" s="496"/>
      <c r="S427" s="557">
        <f t="shared" si="20"/>
        <v>0</v>
      </c>
    </row>
    <row r="428" spans="2:19" hidden="1">
      <c r="B428" s="511">
        <v>416</v>
      </c>
      <c r="C428" s="540"/>
      <c r="D428" s="541"/>
      <c r="E428" s="542"/>
      <c r="F428" s="543"/>
      <c r="G428" s="36"/>
      <c r="H428" s="554">
        <f>IF(Consolidado_Geral!$G$133=7.6%,-(0.0165+0.076)*F428,0)</f>
        <v>0</v>
      </c>
      <c r="I428" s="36"/>
      <c r="J428" s="548"/>
      <c r="K428" s="549"/>
      <c r="L428" s="496"/>
      <c r="M428" s="557">
        <f t="shared" si="19"/>
        <v>0</v>
      </c>
      <c r="N428" s="556"/>
      <c r="O428" s="557">
        <f t="shared" si="18"/>
        <v>0</v>
      </c>
      <c r="P428" s="496"/>
      <c r="Q428" s="552"/>
      <c r="R428" s="496"/>
      <c r="S428" s="557">
        <f t="shared" si="20"/>
        <v>0</v>
      </c>
    </row>
    <row r="429" spans="2:19" hidden="1">
      <c r="B429" s="511">
        <v>417</v>
      </c>
      <c r="C429" s="540"/>
      <c r="D429" s="541"/>
      <c r="E429" s="542"/>
      <c r="F429" s="543"/>
      <c r="G429" s="36"/>
      <c r="H429" s="554">
        <f>IF(Consolidado_Geral!$G$133=7.6%,-(0.0165+0.076)*F429,0)</f>
        <v>0</v>
      </c>
      <c r="I429" s="36"/>
      <c r="J429" s="548"/>
      <c r="K429" s="549"/>
      <c r="L429" s="496"/>
      <c r="M429" s="557">
        <f t="shared" si="19"/>
        <v>0</v>
      </c>
      <c r="N429" s="556"/>
      <c r="O429" s="557">
        <f t="shared" si="18"/>
        <v>0</v>
      </c>
      <c r="P429" s="496"/>
      <c r="Q429" s="552"/>
      <c r="R429" s="496"/>
      <c r="S429" s="557">
        <f t="shared" si="20"/>
        <v>0</v>
      </c>
    </row>
    <row r="430" spans="2:19" hidden="1">
      <c r="B430" s="511">
        <v>418</v>
      </c>
      <c r="C430" s="540"/>
      <c r="D430" s="541"/>
      <c r="E430" s="542"/>
      <c r="F430" s="543"/>
      <c r="G430" s="36"/>
      <c r="H430" s="554">
        <f>IF(Consolidado_Geral!$G$133=7.6%,-(0.0165+0.076)*F430,0)</f>
        <v>0</v>
      </c>
      <c r="I430" s="36"/>
      <c r="J430" s="548"/>
      <c r="K430" s="549"/>
      <c r="L430" s="496"/>
      <c r="M430" s="557">
        <f t="shared" si="19"/>
        <v>0</v>
      </c>
      <c r="N430" s="556"/>
      <c r="O430" s="557">
        <f t="shared" si="18"/>
        <v>0</v>
      </c>
      <c r="P430" s="496"/>
      <c r="Q430" s="552"/>
      <c r="R430" s="496"/>
      <c r="S430" s="557">
        <f t="shared" si="20"/>
        <v>0</v>
      </c>
    </row>
    <row r="431" spans="2:19" hidden="1">
      <c r="B431" s="511">
        <v>419</v>
      </c>
      <c r="C431" s="540"/>
      <c r="D431" s="541"/>
      <c r="E431" s="542"/>
      <c r="F431" s="543"/>
      <c r="G431" s="36"/>
      <c r="H431" s="554">
        <f>IF(Consolidado_Geral!$G$133=7.6%,-(0.0165+0.076)*F431,0)</f>
        <v>0</v>
      </c>
      <c r="I431" s="36"/>
      <c r="J431" s="548"/>
      <c r="K431" s="549"/>
      <c r="L431" s="496"/>
      <c r="M431" s="557">
        <f t="shared" si="19"/>
        <v>0</v>
      </c>
      <c r="N431" s="556"/>
      <c r="O431" s="557">
        <f t="shared" si="18"/>
        <v>0</v>
      </c>
      <c r="P431" s="496"/>
      <c r="Q431" s="552"/>
      <c r="R431" s="496"/>
      <c r="S431" s="557">
        <f t="shared" si="20"/>
        <v>0</v>
      </c>
    </row>
    <row r="432" spans="2:19" hidden="1">
      <c r="B432" s="511">
        <v>420</v>
      </c>
      <c r="C432" s="540"/>
      <c r="D432" s="541"/>
      <c r="E432" s="542"/>
      <c r="F432" s="543"/>
      <c r="G432" s="36"/>
      <c r="H432" s="554">
        <f>IF(Consolidado_Geral!$G$133=7.6%,-(0.0165+0.076)*F432,0)</f>
        <v>0</v>
      </c>
      <c r="I432" s="36"/>
      <c r="J432" s="548"/>
      <c r="K432" s="549"/>
      <c r="L432" s="496"/>
      <c r="M432" s="557">
        <f t="shared" si="19"/>
        <v>0</v>
      </c>
      <c r="N432" s="556"/>
      <c r="O432" s="557">
        <f t="shared" si="18"/>
        <v>0</v>
      </c>
      <c r="P432" s="496"/>
      <c r="Q432" s="552"/>
      <c r="R432" s="496"/>
      <c r="S432" s="557">
        <f t="shared" si="20"/>
        <v>0</v>
      </c>
    </row>
    <row r="433" spans="2:19" hidden="1">
      <c r="B433" s="511">
        <v>421</v>
      </c>
      <c r="C433" s="540"/>
      <c r="D433" s="541"/>
      <c r="E433" s="542"/>
      <c r="F433" s="543"/>
      <c r="G433" s="36"/>
      <c r="H433" s="554">
        <f>IF(Consolidado_Geral!$G$133=7.6%,-(0.0165+0.076)*F433,0)</f>
        <v>0</v>
      </c>
      <c r="I433" s="36"/>
      <c r="J433" s="548"/>
      <c r="K433" s="549"/>
      <c r="L433" s="496"/>
      <c r="M433" s="557">
        <f t="shared" si="19"/>
        <v>0</v>
      </c>
      <c r="N433" s="556"/>
      <c r="O433" s="557">
        <f t="shared" si="18"/>
        <v>0</v>
      </c>
      <c r="Q433" s="552"/>
      <c r="S433" s="557">
        <f t="shared" si="20"/>
        <v>0</v>
      </c>
    </row>
    <row r="434" spans="2:19" hidden="1">
      <c r="B434" s="511">
        <v>422</v>
      </c>
      <c r="C434" s="540"/>
      <c r="D434" s="541"/>
      <c r="E434" s="542"/>
      <c r="F434" s="543"/>
      <c r="G434" s="36"/>
      <c r="H434" s="554">
        <f>IF(Consolidado_Geral!$G$133=7.6%,-(0.0165+0.076)*F434,0)</f>
        <v>0</v>
      </c>
      <c r="I434" s="36"/>
      <c r="J434" s="548"/>
      <c r="K434" s="549"/>
      <c r="L434" s="496"/>
      <c r="M434" s="557">
        <f t="shared" si="19"/>
        <v>0</v>
      </c>
      <c r="N434" s="556"/>
      <c r="O434" s="557">
        <f t="shared" si="18"/>
        <v>0</v>
      </c>
      <c r="Q434" s="552"/>
      <c r="S434" s="557">
        <f t="shared" si="20"/>
        <v>0</v>
      </c>
    </row>
    <row r="435" spans="2:19" hidden="1">
      <c r="B435" s="511">
        <v>423</v>
      </c>
      <c r="C435" s="540"/>
      <c r="D435" s="541"/>
      <c r="E435" s="542"/>
      <c r="F435" s="543"/>
      <c r="G435" s="36"/>
      <c r="H435" s="554">
        <f>IF(Consolidado_Geral!$G$133=7.6%,-(0.0165+0.076)*F435,0)</f>
        <v>0</v>
      </c>
      <c r="I435" s="36"/>
      <c r="J435" s="548"/>
      <c r="K435" s="549"/>
      <c r="L435" s="496"/>
      <c r="M435" s="557">
        <f t="shared" si="19"/>
        <v>0</v>
      </c>
      <c r="N435" s="556"/>
      <c r="O435" s="557">
        <f t="shared" si="18"/>
        <v>0</v>
      </c>
      <c r="Q435" s="552"/>
      <c r="S435" s="557">
        <f t="shared" si="20"/>
        <v>0</v>
      </c>
    </row>
    <row r="436" spans="2:19" hidden="1">
      <c r="B436" s="511">
        <v>424</v>
      </c>
      <c r="C436" s="540"/>
      <c r="D436" s="541"/>
      <c r="E436" s="542"/>
      <c r="F436" s="543"/>
      <c r="G436" s="36"/>
      <c r="H436" s="554">
        <f>IF(Consolidado_Geral!$G$133=7.6%,-(0.0165+0.076)*F436,0)</f>
        <v>0</v>
      </c>
      <c r="I436" s="36"/>
      <c r="J436" s="548"/>
      <c r="K436" s="549"/>
      <c r="L436" s="496"/>
      <c r="M436" s="557">
        <f t="shared" si="19"/>
        <v>0</v>
      </c>
      <c r="N436" s="556"/>
      <c r="O436" s="557">
        <f t="shared" si="18"/>
        <v>0</v>
      </c>
      <c r="Q436" s="552"/>
      <c r="S436" s="557">
        <f t="shared" si="20"/>
        <v>0</v>
      </c>
    </row>
    <row r="437" spans="2:19" hidden="1">
      <c r="B437" s="511">
        <v>425</v>
      </c>
      <c r="C437" s="540"/>
      <c r="D437" s="541"/>
      <c r="E437" s="542"/>
      <c r="F437" s="543"/>
      <c r="G437" s="36"/>
      <c r="H437" s="554">
        <f>IF(Consolidado_Geral!$G$133=7.6%,-(0.0165+0.076)*F437,0)</f>
        <v>0</v>
      </c>
      <c r="I437" s="36"/>
      <c r="J437" s="548"/>
      <c r="K437" s="549"/>
      <c r="L437" s="496"/>
      <c r="M437" s="557">
        <f t="shared" si="19"/>
        <v>0</v>
      </c>
      <c r="N437" s="556"/>
      <c r="O437" s="557">
        <f t="shared" si="18"/>
        <v>0</v>
      </c>
      <c r="Q437" s="552"/>
      <c r="S437" s="557">
        <f t="shared" si="20"/>
        <v>0</v>
      </c>
    </row>
    <row r="438" spans="2:19" hidden="1">
      <c r="B438" s="511">
        <v>426</v>
      </c>
      <c r="C438" s="540"/>
      <c r="D438" s="541"/>
      <c r="E438" s="542"/>
      <c r="F438" s="543"/>
      <c r="G438" s="36"/>
      <c r="H438" s="554">
        <f>IF(Consolidado_Geral!$G$133=7.6%,-(0.0165+0.076)*F438,0)</f>
        <v>0</v>
      </c>
      <c r="I438" s="36"/>
      <c r="J438" s="548"/>
      <c r="K438" s="549"/>
      <c r="L438" s="496"/>
      <c r="M438" s="557">
        <f t="shared" si="19"/>
        <v>0</v>
      </c>
      <c r="N438" s="556"/>
      <c r="O438" s="557">
        <f t="shared" si="18"/>
        <v>0</v>
      </c>
      <c r="Q438" s="552"/>
      <c r="S438" s="557">
        <f t="shared" si="20"/>
        <v>0</v>
      </c>
    </row>
    <row r="439" spans="2:19" hidden="1">
      <c r="B439" s="511">
        <v>427</v>
      </c>
      <c r="C439" s="540"/>
      <c r="D439" s="541"/>
      <c r="E439" s="542"/>
      <c r="F439" s="543"/>
      <c r="G439" s="36"/>
      <c r="H439" s="554">
        <f>IF(Consolidado_Geral!$G$133=7.6%,-(0.0165+0.076)*F439,0)</f>
        <v>0</v>
      </c>
      <c r="I439" s="36"/>
      <c r="J439" s="548"/>
      <c r="K439" s="549"/>
      <c r="L439" s="496"/>
      <c r="M439" s="557">
        <f t="shared" si="19"/>
        <v>0</v>
      </c>
      <c r="N439" s="556"/>
      <c r="O439" s="557">
        <f t="shared" si="18"/>
        <v>0</v>
      </c>
      <c r="Q439" s="552"/>
      <c r="S439" s="557">
        <f t="shared" si="20"/>
        <v>0</v>
      </c>
    </row>
    <row r="440" spans="2:19" hidden="1">
      <c r="B440" s="511">
        <v>428</v>
      </c>
      <c r="C440" s="540"/>
      <c r="D440" s="541"/>
      <c r="E440" s="542"/>
      <c r="F440" s="543"/>
      <c r="G440" s="36"/>
      <c r="H440" s="554">
        <f>IF(Consolidado_Geral!$G$133=7.6%,-(0.0165+0.076)*F440,0)</f>
        <v>0</v>
      </c>
      <c r="I440" s="36"/>
      <c r="J440" s="548"/>
      <c r="K440" s="549"/>
      <c r="L440" s="496"/>
      <c r="M440" s="557">
        <f t="shared" si="19"/>
        <v>0</v>
      </c>
      <c r="N440" s="556"/>
      <c r="O440" s="557">
        <f t="shared" si="18"/>
        <v>0</v>
      </c>
      <c r="Q440" s="552"/>
      <c r="S440" s="557">
        <f t="shared" si="20"/>
        <v>0</v>
      </c>
    </row>
    <row r="441" spans="2:19" hidden="1">
      <c r="B441" s="511">
        <v>429</v>
      </c>
      <c r="C441" s="540"/>
      <c r="D441" s="541"/>
      <c r="E441" s="542"/>
      <c r="F441" s="543"/>
      <c r="G441" s="36"/>
      <c r="H441" s="554">
        <f>IF(Consolidado_Geral!$G$133=7.6%,-(0.0165+0.076)*F441,0)</f>
        <v>0</v>
      </c>
      <c r="I441" s="36"/>
      <c r="J441" s="548"/>
      <c r="K441" s="549"/>
      <c r="L441" s="496"/>
      <c r="M441" s="557">
        <f t="shared" si="19"/>
        <v>0</v>
      </c>
      <c r="N441" s="556"/>
      <c r="O441" s="557">
        <f t="shared" si="18"/>
        <v>0</v>
      </c>
      <c r="Q441" s="552"/>
      <c r="S441" s="557">
        <f t="shared" si="20"/>
        <v>0</v>
      </c>
    </row>
    <row r="442" spans="2:19" hidden="1">
      <c r="B442" s="511">
        <v>430</v>
      </c>
      <c r="C442" s="540"/>
      <c r="D442" s="541"/>
      <c r="E442" s="542"/>
      <c r="F442" s="543"/>
      <c r="G442" s="36"/>
      <c r="H442" s="554">
        <f>IF(Consolidado_Geral!$G$133=7.6%,-(0.0165+0.076)*F442,0)</f>
        <v>0</v>
      </c>
      <c r="I442" s="36"/>
      <c r="J442" s="548"/>
      <c r="K442" s="549"/>
      <c r="L442" s="496"/>
      <c r="M442" s="557">
        <f t="shared" si="19"/>
        <v>0</v>
      </c>
      <c r="N442" s="556"/>
      <c r="O442" s="557">
        <f t="shared" si="18"/>
        <v>0</v>
      </c>
      <c r="Q442" s="552"/>
      <c r="S442" s="557">
        <f t="shared" si="20"/>
        <v>0</v>
      </c>
    </row>
    <row r="443" spans="2:19" hidden="1">
      <c r="B443" s="511">
        <v>431</v>
      </c>
      <c r="C443" s="540"/>
      <c r="D443" s="541"/>
      <c r="E443" s="542"/>
      <c r="F443" s="543"/>
      <c r="G443" s="36"/>
      <c r="H443" s="554">
        <f>IF(Consolidado_Geral!$G$133=7.6%,-(0.0165+0.076)*F443,0)</f>
        <v>0</v>
      </c>
      <c r="I443" s="36"/>
      <c r="J443" s="548"/>
      <c r="K443" s="549"/>
      <c r="L443" s="496"/>
      <c r="M443" s="557">
        <f t="shared" si="19"/>
        <v>0</v>
      </c>
      <c r="N443" s="556"/>
      <c r="O443" s="557">
        <f t="shared" si="18"/>
        <v>0</v>
      </c>
      <c r="Q443" s="552"/>
      <c r="S443" s="557">
        <f t="shared" si="20"/>
        <v>0</v>
      </c>
    </row>
    <row r="444" spans="2:19" hidden="1">
      <c r="B444" s="511">
        <v>432</v>
      </c>
      <c r="C444" s="540"/>
      <c r="D444" s="541"/>
      <c r="E444" s="542"/>
      <c r="F444" s="543"/>
      <c r="G444" s="36"/>
      <c r="H444" s="554">
        <f>IF(Consolidado_Geral!$G$133=7.6%,-(0.0165+0.076)*F444,0)</f>
        <v>0</v>
      </c>
      <c r="I444" s="36"/>
      <c r="J444" s="548"/>
      <c r="K444" s="549"/>
      <c r="L444" s="496"/>
      <c r="M444" s="557">
        <f t="shared" si="19"/>
        <v>0</v>
      </c>
      <c r="N444" s="556"/>
      <c r="O444" s="557">
        <f t="shared" si="18"/>
        <v>0</v>
      </c>
      <c r="Q444" s="552"/>
      <c r="S444" s="557">
        <f t="shared" si="20"/>
        <v>0</v>
      </c>
    </row>
    <row r="445" spans="2:19" hidden="1">
      <c r="B445" s="511">
        <v>433</v>
      </c>
      <c r="C445" s="540"/>
      <c r="D445" s="541"/>
      <c r="E445" s="542"/>
      <c r="F445" s="543"/>
      <c r="G445" s="36"/>
      <c r="H445" s="554">
        <f>IF(Consolidado_Geral!$G$133=7.6%,-(0.0165+0.076)*F445,0)</f>
        <v>0</v>
      </c>
      <c r="I445" s="36"/>
      <c r="J445" s="548"/>
      <c r="K445" s="549"/>
      <c r="L445" s="496"/>
      <c r="M445" s="557">
        <f t="shared" si="19"/>
        <v>0</v>
      </c>
      <c r="N445" s="556"/>
      <c r="O445" s="557">
        <f t="shared" si="18"/>
        <v>0</v>
      </c>
      <c r="Q445" s="552"/>
      <c r="S445" s="557">
        <f t="shared" si="20"/>
        <v>0</v>
      </c>
    </row>
    <row r="446" spans="2:19" hidden="1">
      <c r="B446" s="511">
        <v>434</v>
      </c>
      <c r="C446" s="540"/>
      <c r="D446" s="541"/>
      <c r="E446" s="542"/>
      <c r="F446" s="543"/>
      <c r="G446" s="36"/>
      <c r="H446" s="554">
        <f>IF(Consolidado_Geral!$G$133=7.6%,-(0.0165+0.076)*F446,0)</f>
        <v>0</v>
      </c>
      <c r="I446" s="36"/>
      <c r="J446" s="548"/>
      <c r="K446" s="549"/>
      <c r="L446" s="496"/>
      <c r="M446" s="557">
        <f t="shared" si="19"/>
        <v>0</v>
      </c>
      <c r="N446" s="556"/>
      <c r="O446" s="557">
        <f t="shared" si="18"/>
        <v>0</v>
      </c>
      <c r="Q446" s="552"/>
      <c r="S446" s="557">
        <f t="shared" si="20"/>
        <v>0</v>
      </c>
    </row>
    <row r="447" spans="2:19" hidden="1">
      <c r="B447" s="511">
        <v>435</v>
      </c>
      <c r="C447" s="540"/>
      <c r="D447" s="541"/>
      <c r="E447" s="542"/>
      <c r="F447" s="543"/>
      <c r="G447" s="36"/>
      <c r="H447" s="554">
        <f>IF(Consolidado_Geral!$G$133=7.6%,-(0.0165+0.076)*F447,0)</f>
        <v>0</v>
      </c>
      <c r="I447" s="36"/>
      <c r="J447" s="548"/>
      <c r="K447" s="549"/>
      <c r="L447" s="496"/>
      <c r="M447" s="557">
        <f t="shared" si="19"/>
        <v>0</v>
      </c>
      <c r="N447" s="556"/>
      <c r="O447" s="557">
        <f t="shared" si="18"/>
        <v>0</v>
      </c>
      <c r="Q447" s="552"/>
      <c r="S447" s="557">
        <f t="shared" si="20"/>
        <v>0</v>
      </c>
    </row>
    <row r="448" spans="2:19" hidden="1">
      <c r="B448" s="511">
        <v>436</v>
      </c>
      <c r="C448" s="540"/>
      <c r="D448" s="541"/>
      <c r="E448" s="542"/>
      <c r="F448" s="543"/>
      <c r="G448" s="36"/>
      <c r="H448" s="554">
        <f>IF(Consolidado_Geral!$G$133=7.6%,-(0.0165+0.076)*F448,0)</f>
        <v>0</v>
      </c>
      <c r="I448" s="36"/>
      <c r="J448" s="548"/>
      <c r="K448" s="549"/>
      <c r="L448" s="496"/>
      <c r="M448" s="557">
        <f t="shared" si="19"/>
        <v>0</v>
      </c>
      <c r="N448" s="556"/>
      <c r="O448" s="557">
        <f t="shared" si="18"/>
        <v>0</v>
      </c>
      <c r="Q448" s="552"/>
      <c r="S448" s="557">
        <f t="shared" si="20"/>
        <v>0</v>
      </c>
    </row>
    <row r="449" spans="2:19" hidden="1">
      <c r="B449" s="511">
        <v>437</v>
      </c>
      <c r="C449" s="540"/>
      <c r="D449" s="541"/>
      <c r="E449" s="542"/>
      <c r="F449" s="543"/>
      <c r="G449" s="36"/>
      <c r="H449" s="554">
        <f>IF(Consolidado_Geral!$G$133=7.6%,-(0.0165+0.076)*F449,0)</f>
        <v>0</v>
      </c>
      <c r="I449" s="36"/>
      <c r="J449" s="548"/>
      <c r="K449" s="549"/>
      <c r="L449" s="496"/>
      <c r="M449" s="557">
        <f t="shared" si="19"/>
        <v>0</v>
      </c>
      <c r="N449" s="556"/>
      <c r="O449" s="557">
        <f t="shared" si="18"/>
        <v>0</v>
      </c>
      <c r="Q449" s="552"/>
      <c r="S449" s="557">
        <f t="shared" si="20"/>
        <v>0</v>
      </c>
    </row>
    <row r="450" spans="2:19" hidden="1">
      <c r="B450" s="511">
        <v>438</v>
      </c>
      <c r="C450" s="540"/>
      <c r="D450" s="541"/>
      <c r="E450" s="542"/>
      <c r="F450" s="543"/>
      <c r="G450" s="36"/>
      <c r="H450" s="554">
        <f>IF(Consolidado_Geral!$G$133=7.6%,-(0.0165+0.076)*F450,0)</f>
        <v>0</v>
      </c>
      <c r="I450" s="36"/>
      <c r="J450" s="548"/>
      <c r="K450" s="549"/>
      <c r="L450" s="496"/>
      <c r="M450" s="557">
        <f t="shared" si="19"/>
        <v>0</v>
      </c>
      <c r="N450" s="556"/>
      <c r="O450" s="557">
        <f t="shared" si="18"/>
        <v>0</v>
      </c>
      <c r="Q450" s="552"/>
      <c r="S450" s="557">
        <f t="shared" si="20"/>
        <v>0</v>
      </c>
    </row>
    <row r="451" spans="2:19" hidden="1">
      <c r="B451" s="511">
        <v>439</v>
      </c>
      <c r="C451" s="540"/>
      <c r="D451" s="541"/>
      <c r="E451" s="542"/>
      <c r="F451" s="543"/>
      <c r="G451" s="36"/>
      <c r="H451" s="554">
        <f>IF(Consolidado_Geral!$G$133=7.6%,-(0.0165+0.076)*F451,0)</f>
        <v>0</v>
      </c>
      <c r="I451" s="36"/>
      <c r="J451" s="548"/>
      <c r="K451" s="549"/>
      <c r="L451" s="496"/>
      <c r="M451" s="557">
        <f t="shared" si="19"/>
        <v>0</v>
      </c>
      <c r="N451" s="556"/>
      <c r="O451" s="557">
        <f t="shared" si="18"/>
        <v>0</v>
      </c>
      <c r="Q451" s="552"/>
      <c r="S451" s="557">
        <f t="shared" si="20"/>
        <v>0</v>
      </c>
    </row>
    <row r="452" spans="2:19" hidden="1">
      <c r="B452" s="511">
        <v>440</v>
      </c>
      <c r="C452" s="540"/>
      <c r="D452" s="541"/>
      <c r="E452" s="542"/>
      <c r="F452" s="543"/>
      <c r="G452" s="36"/>
      <c r="H452" s="554">
        <f>IF(Consolidado_Geral!$G$133=7.6%,-(0.0165+0.076)*F452,0)</f>
        <v>0</v>
      </c>
      <c r="I452" s="36"/>
      <c r="J452" s="548"/>
      <c r="K452" s="549"/>
      <c r="L452" s="496"/>
      <c r="M452" s="557">
        <f t="shared" si="19"/>
        <v>0</v>
      </c>
      <c r="N452" s="556"/>
      <c r="O452" s="557">
        <f t="shared" si="18"/>
        <v>0</v>
      </c>
      <c r="Q452" s="552"/>
      <c r="S452" s="557">
        <f t="shared" si="20"/>
        <v>0</v>
      </c>
    </row>
    <row r="453" spans="2:19" hidden="1">
      <c r="B453" s="511">
        <v>441</v>
      </c>
      <c r="C453" s="540"/>
      <c r="D453" s="541"/>
      <c r="E453" s="542"/>
      <c r="F453" s="543"/>
      <c r="G453" s="36"/>
      <c r="H453" s="554">
        <f>IF(Consolidado_Geral!$G$133=7.6%,-(0.0165+0.076)*F453,0)</f>
        <v>0</v>
      </c>
      <c r="I453" s="36"/>
      <c r="J453" s="548"/>
      <c r="K453" s="549"/>
      <c r="L453" s="496"/>
      <c r="M453" s="557">
        <f t="shared" si="19"/>
        <v>0</v>
      </c>
      <c r="N453" s="556"/>
      <c r="O453" s="557">
        <f t="shared" si="18"/>
        <v>0</v>
      </c>
      <c r="Q453" s="552"/>
      <c r="S453" s="557">
        <f t="shared" si="20"/>
        <v>0</v>
      </c>
    </row>
    <row r="454" spans="2:19" hidden="1">
      <c r="B454" s="511">
        <v>442</v>
      </c>
      <c r="C454" s="540"/>
      <c r="D454" s="541"/>
      <c r="E454" s="542"/>
      <c r="F454" s="543"/>
      <c r="G454" s="36"/>
      <c r="H454" s="554">
        <f>IF(Consolidado_Geral!$G$133=7.6%,-(0.0165+0.076)*F454,0)</f>
        <v>0</v>
      </c>
      <c r="I454" s="36"/>
      <c r="J454" s="548"/>
      <c r="K454" s="549"/>
      <c r="L454" s="496"/>
      <c r="M454" s="557">
        <f t="shared" si="19"/>
        <v>0</v>
      </c>
      <c r="N454" s="556"/>
      <c r="O454" s="557">
        <f t="shared" si="18"/>
        <v>0</v>
      </c>
      <c r="Q454" s="552"/>
      <c r="S454" s="557">
        <f t="shared" si="20"/>
        <v>0</v>
      </c>
    </row>
    <row r="455" spans="2:19" hidden="1">
      <c r="B455" s="511">
        <v>443</v>
      </c>
      <c r="C455" s="540"/>
      <c r="D455" s="541"/>
      <c r="E455" s="542"/>
      <c r="F455" s="543"/>
      <c r="G455" s="36"/>
      <c r="H455" s="554">
        <f>IF(Consolidado_Geral!$G$133=7.6%,-(0.0165+0.076)*F455,0)</f>
        <v>0</v>
      </c>
      <c r="I455" s="36"/>
      <c r="J455" s="548"/>
      <c r="K455" s="549"/>
      <c r="L455" s="496"/>
      <c r="M455" s="557">
        <f t="shared" si="19"/>
        <v>0</v>
      </c>
      <c r="N455" s="556"/>
      <c r="O455" s="557">
        <f t="shared" si="18"/>
        <v>0</v>
      </c>
      <c r="Q455" s="552"/>
      <c r="S455" s="557">
        <f t="shared" si="20"/>
        <v>0</v>
      </c>
    </row>
    <row r="456" spans="2:19" hidden="1">
      <c r="B456" s="511">
        <v>444</v>
      </c>
      <c r="C456" s="540"/>
      <c r="D456" s="541"/>
      <c r="E456" s="542"/>
      <c r="F456" s="543"/>
      <c r="G456" s="36"/>
      <c r="H456" s="554">
        <f>IF(Consolidado_Geral!$G$133=7.6%,-(0.0165+0.076)*F456,0)</f>
        <v>0</v>
      </c>
      <c r="I456" s="36"/>
      <c r="J456" s="548"/>
      <c r="K456" s="549"/>
      <c r="L456" s="496"/>
      <c r="M456" s="557">
        <f t="shared" si="19"/>
        <v>0</v>
      </c>
      <c r="N456" s="556"/>
      <c r="O456" s="557">
        <f t="shared" si="18"/>
        <v>0</v>
      </c>
      <c r="Q456" s="552"/>
      <c r="S456" s="557">
        <f t="shared" si="20"/>
        <v>0</v>
      </c>
    </row>
    <row r="457" spans="2:19" hidden="1">
      <c r="B457" s="511">
        <v>445</v>
      </c>
      <c r="C457" s="540"/>
      <c r="D457" s="541"/>
      <c r="E457" s="542"/>
      <c r="F457" s="543"/>
      <c r="G457" s="36"/>
      <c r="H457" s="554">
        <f>IF(Consolidado_Geral!$G$133=7.6%,-(0.0165+0.076)*F457,0)</f>
        <v>0</v>
      </c>
      <c r="I457" s="36"/>
      <c r="J457" s="548"/>
      <c r="K457" s="549"/>
      <c r="L457" s="496"/>
      <c r="M457" s="557">
        <f t="shared" si="19"/>
        <v>0</v>
      </c>
      <c r="N457" s="556"/>
      <c r="O457" s="557">
        <f t="shared" si="18"/>
        <v>0</v>
      </c>
      <c r="Q457" s="552"/>
      <c r="S457" s="557">
        <f t="shared" si="20"/>
        <v>0</v>
      </c>
    </row>
    <row r="458" spans="2:19" hidden="1">
      <c r="B458" s="511">
        <v>446</v>
      </c>
      <c r="C458" s="540"/>
      <c r="D458" s="541"/>
      <c r="E458" s="542"/>
      <c r="F458" s="543"/>
      <c r="G458" s="36"/>
      <c r="H458" s="554">
        <f>IF(Consolidado_Geral!$G$133=7.6%,-(0.0165+0.076)*F458,0)</f>
        <v>0</v>
      </c>
      <c r="I458" s="36"/>
      <c r="J458" s="548"/>
      <c r="K458" s="549"/>
      <c r="L458" s="496"/>
      <c r="M458" s="557">
        <f t="shared" si="19"/>
        <v>0</v>
      </c>
      <c r="N458" s="556"/>
      <c r="O458" s="557">
        <f t="shared" si="18"/>
        <v>0</v>
      </c>
      <c r="Q458" s="552"/>
      <c r="S458" s="557">
        <f t="shared" si="20"/>
        <v>0</v>
      </c>
    </row>
    <row r="459" spans="2:19" hidden="1">
      <c r="B459" s="511">
        <v>447</v>
      </c>
      <c r="C459" s="540"/>
      <c r="D459" s="541"/>
      <c r="E459" s="542"/>
      <c r="F459" s="543"/>
      <c r="G459" s="36"/>
      <c r="H459" s="554">
        <f>IF(Consolidado_Geral!$G$133=7.6%,-(0.0165+0.076)*F459,0)</f>
        <v>0</v>
      </c>
      <c r="I459" s="36"/>
      <c r="J459" s="548"/>
      <c r="K459" s="549"/>
      <c r="L459" s="496"/>
      <c r="M459" s="557">
        <f t="shared" si="19"/>
        <v>0</v>
      </c>
      <c r="N459" s="556"/>
      <c r="O459" s="557">
        <f t="shared" si="18"/>
        <v>0</v>
      </c>
      <c r="Q459" s="552"/>
      <c r="S459" s="557">
        <f t="shared" si="20"/>
        <v>0</v>
      </c>
    </row>
    <row r="460" spans="2:19" hidden="1">
      <c r="B460" s="511">
        <v>448</v>
      </c>
      <c r="C460" s="540"/>
      <c r="D460" s="541"/>
      <c r="E460" s="542"/>
      <c r="F460" s="543"/>
      <c r="G460" s="36"/>
      <c r="H460" s="554">
        <f>IF(Consolidado_Geral!$G$133=7.6%,-(0.0165+0.076)*F460,0)</f>
        <v>0</v>
      </c>
      <c r="I460" s="36"/>
      <c r="J460" s="548"/>
      <c r="K460" s="549"/>
      <c r="L460" s="496"/>
      <c r="M460" s="557">
        <f t="shared" si="19"/>
        <v>0</v>
      </c>
      <c r="N460" s="556"/>
      <c r="O460" s="557">
        <f t="shared" si="18"/>
        <v>0</v>
      </c>
      <c r="Q460" s="552"/>
      <c r="S460" s="557">
        <f t="shared" si="20"/>
        <v>0</v>
      </c>
    </row>
    <row r="461" spans="2:19" hidden="1">
      <c r="B461" s="511">
        <v>449</v>
      </c>
      <c r="C461" s="540"/>
      <c r="D461" s="541"/>
      <c r="E461" s="542"/>
      <c r="F461" s="543"/>
      <c r="G461" s="36"/>
      <c r="H461" s="554">
        <f>IF(Consolidado_Geral!$G$133=7.6%,-(0.0165+0.076)*F461,0)</f>
        <v>0</v>
      </c>
      <c r="I461" s="36"/>
      <c r="J461" s="548"/>
      <c r="K461" s="549"/>
      <c r="L461" s="496"/>
      <c r="M461" s="557">
        <f t="shared" si="19"/>
        <v>0</v>
      </c>
      <c r="N461" s="556"/>
      <c r="O461" s="557">
        <f t="shared" si="18"/>
        <v>0</v>
      </c>
      <c r="Q461" s="552"/>
      <c r="S461" s="557">
        <f t="shared" si="20"/>
        <v>0</v>
      </c>
    </row>
    <row r="462" spans="2:19" ht="13.5" hidden="1" thickBot="1">
      <c r="B462" s="511">
        <v>450</v>
      </c>
      <c r="C462" s="544"/>
      <c r="D462" s="545"/>
      <c r="E462" s="546"/>
      <c r="F462" s="547"/>
      <c r="G462" s="36"/>
      <c r="H462" s="555">
        <f>IF(Consolidado_Geral!$G$133=7.6%,-(0.0165+0.076)*F462,0)</f>
        <v>0</v>
      </c>
      <c r="I462" s="36"/>
      <c r="J462" s="550"/>
      <c r="K462" s="551"/>
      <c r="L462" s="496"/>
      <c r="M462" s="558">
        <f>IF(E462&gt;0,(F462+H462)-J462,0)</f>
        <v>0</v>
      </c>
      <c r="N462" s="556"/>
      <c r="O462" s="558">
        <f t="shared" si="18"/>
        <v>0</v>
      </c>
      <c r="Q462" s="553"/>
      <c r="S462" s="557">
        <f>E462*(M462*Q462)</f>
        <v>0</v>
      </c>
    </row>
    <row r="463" spans="2:19" ht="14.25" customHeight="1"/>
    <row r="464" spans="2:19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</sheetData>
  <sheetProtection password="CADB" sheet="1" objects="1" scenarios="1" formatCells="0" formatColumns="0" formatRows="0"/>
  <phoneticPr fontId="31" type="noConversion"/>
  <conditionalFormatting sqref="Q13:Q462">
    <cfRule type="cellIs" dxfId="8" priority="1" stopIfTrue="1" operator="greaterThan">
      <formula>1</formula>
    </cfRule>
  </conditionalFormatting>
  <hyperlinks>
    <hyperlink ref="C2" r:id="rId1"/>
  </hyperlinks>
  <printOptions horizontalCentered="1"/>
  <pageMargins left="0.47244094488188981" right="0.47244094488188981" top="0.86614173228346458" bottom="0.86614173228346458" header="0.39370078740157483" footer="0.35433070866141736"/>
  <pageSetup paperSize="9" scale="85" orientation="landscape" blackAndWhite="1" r:id="rId2"/>
  <headerFooter alignWithMargins="0">
    <oddFooter>&amp;R&amp;F</oddFooter>
  </headerFooter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2"/>
  </sheetPr>
  <dimension ref="A1:T741"/>
  <sheetViews>
    <sheetView showGridLines="0" showZeros="0" topLeftCell="A3" zoomScaleNormal="100" workbookViewId="0">
      <selection activeCell="L252" sqref="L251:L252"/>
    </sheetView>
  </sheetViews>
  <sheetFormatPr defaultRowHeight="12.75"/>
  <cols>
    <col min="1" max="1" width="6.140625" style="489" customWidth="1"/>
    <col min="2" max="2" width="15.140625" style="489" customWidth="1"/>
    <col min="3" max="3" width="2.140625" style="489" customWidth="1"/>
    <col min="4" max="4" width="5.85546875" style="489" customWidth="1"/>
    <col min="5" max="5" width="1.42578125" style="489" customWidth="1"/>
    <col min="6" max="6" width="6.140625" style="489" customWidth="1"/>
    <col min="7" max="7" width="1.42578125" style="489" customWidth="1"/>
    <col min="8" max="8" width="9.140625" style="489"/>
    <col min="9" max="9" width="1.42578125" style="489" customWidth="1"/>
    <col min="10" max="10" width="10.85546875" style="489" customWidth="1"/>
    <col min="11" max="11" width="2.42578125" style="489" customWidth="1"/>
    <col min="12" max="12" width="9" style="489" customWidth="1"/>
    <col min="13" max="13" width="1.42578125" style="489" customWidth="1"/>
    <col min="14" max="14" width="10.7109375" style="489" customWidth="1"/>
    <col min="15" max="15" width="1.42578125" style="489" customWidth="1"/>
    <col min="16" max="16" width="10.140625" style="489" customWidth="1"/>
    <col min="17" max="17" width="1.42578125" style="489" customWidth="1"/>
    <col min="18" max="18" width="12.28515625" style="489" customWidth="1"/>
    <col min="19" max="16384" width="9.140625" style="489"/>
  </cols>
  <sheetData>
    <row r="1" spans="1:19" ht="6.75" customHeight="1"/>
    <row r="2" spans="1:19" ht="15.75" customHeight="1"/>
    <row r="3" spans="1:19" ht="10.5" customHeight="1">
      <c r="A3" s="685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</row>
    <row r="4" spans="1:19" ht="21" customHeight="1" thickBot="1">
      <c r="A4" s="490"/>
      <c r="B4" s="1073" t="s">
        <v>408</v>
      </c>
      <c r="C4" s="1074"/>
      <c r="D4" s="1074"/>
      <c r="E4" s="1074"/>
      <c r="F4" s="1074"/>
      <c r="G4" s="1074"/>
      <c r="H4" s="1074"/>
      <c r="I4" s="1074"/>
      <c r="J4" s="1074"/>
      <c r="K4" s="1074"/>
      <c r="L4" s="1074"/>
      <c r="M4" s="1074"/>
      <c r="N4" s="1074"/>
      <c r="O4" s="1074"/>
      <c r="P4" s="1074"/>
      <c r="Q4" s="1074"/>
      <c r="R4" s="1075"/>
      <c r="S4" s="491"/>
    </row>
    <row r="5" spans="1:19" ht="9" customHeight="1">
      <c r="A5" s="490"/>
      <c r="B5" s="6"/>
      <c r="C5" s="6"/>
      <c r="D5" s="6"/>
      <c r="E5" s="6"/>
      <c r="F5" s="6"/>
      <c r="G5" s="6"/>
      <c r="H5" s="6"/>
      <c r="I5" s="6"/>
      <c r="J5" s="6"/>
      <c r="K5" s="6"/>
      <c r="L5" s="490"/>
      <c r="M5" s="490"/>
      <c r="N5" s="490"/>
      <c r="O5" s="490"/>
      <c r="P5" s="490"/>
      <c r="Q5" s="490"/>
      <c r="R5" s="490"/>
      <c r="S5" s="491"/>
    </row>
    <row r="6" spans="1:19" ht="15.75" customHeight="1" thickBot="1">
      <c r="A6" s="490"/>
      <c r="B6" s="676" t="s">
        <v>16</v>
      </c>
      <c r="C6" s="66"/>
      <c r="D6" s="677"/>
      <c r="E6" s="77"/>
      <c r="F6" s="678"/>
      <c r="G6" s="679"/>
      <c r="H6" s="73"/>
      <c r="I6" s="490"/>
      <c r="J6" s="655"/>
      <c r="K6" s="698" t="s">
        <v>20</v>
      </c>
      <c r="L6" s="491"/>
      <c r="N6" s="679"/>
      <c r="O6" s="490"/>
      <c r="P6" s="699" t="s">
        <v>229</v>
      </c>
      <c r="Q6" s="490"/>
      <c r="R6" s="654">
        <f>DV!F13</f>
        <v>0</v>
      </c>
      <c r="S6" s="491"/>
    </row>
    <row r="7" spans="1:19" ht="9" customHeight="1">
      <c r="A7" s="490"/>
      <c r="B7" s="3"/>
      <c r="C7" s="3"/>
      <c r="D7" s="8"/>
      <c r="E7" s="18"/>
      <c r="F7" s="492"/>
      <c r="G7" s="3"/>
      <c r="H7" s="492"/>
      <c r="I7" s="492"/>
      <c r="J7" s="493"/>
      <c r="K7" s="490"/>
      <c r="L7" s="494"/>
      <c r="M7" s="490"/>
      <c r="N7" s="490"/>
      <c r="O7" s="490"/>
      <c r="P7" s="490"/>
      <c r="Q7" s="490"/>
      <c r="R7" s="490"/>
      <c r="S7" s="491"/>
    </row>
    <row r="8" spans="1:19" ht="16.5" customHeight="1" thickBot="1">
      <c r="A8" s="490"/>
      <c r="B8" s="657"/>
      <c r="C8" s="656"/>
      <c r="D8" s="656"/>
      <c r="E8" s="656"/>
      <c r="F8" s="656"/>
      <c r="G8" s="538"/>
      <c r="H8" s="656"/>
      <c r="I8" s="656"/>
      <c r="J8" s="656" t="s">
        <v>19</v>
      </c>
      <c r="K8" s="656"/>
      <c r="L8" s="656"/>
      <c r="M8" s="538"/>
      <c r="N8" s="538"/>
      <c r="O8" s="538"/>
      <c r="P8" s="538"/>
      <c r="Q8" s="538"/>
      <c r="R8" s="539"/>
      <c r="S8" s="491"/>
    </row>
    <row r="9" spans="1:19" ht="6.75" customHeight="1">
      <c r="A9" s="490"/>
      <c r="B9" s="3"/>
      <c r="C9" s="3"/>
      <c r="D9" s="3"/>
      <c r="E9" s="3"/>
      <c r="F9" s="4"/>
      <c r="G9" s="4"/>
      <c r="H9" s="4"/>
      <c r="I9" s="4"/>
      <c r="J9" s="4"/>
      <c r="K9" s="3"/>
      <c r="L9" s="490"/>
      <c r="M9" s="490"/>
      <c r="N9" s="490"/>
      <c r="O9" s="490"/>
      <c r="P9" s="490"/>
      <c r="Q9" s="490"/>
      <c r="R9" s="490"/>
      <c r="S9" s="491"/>
    </row>
    <row r="10" spans="1:19" ht="25.5" customHeight="1" thickBot="1">
      <c r="A10" s="490"/>
      <c r="B10" s="658" t="s">
        <v>100</v>
      </c>
      <c r="C10" s="659"/>
      <c r="D10" s="656" t="s">
        <v>65</v>
      </c>
      <c r="E10" s="659"/>
      <c r="F10" s="660" t="s">
        <v>66</v>
      </c>
      <c r="G10" s="660"/>
      <c r="H10" s="659" t="s">
        <v>67</v>
      </c>
      <c r="I10" s="581"/>
      <c r="J10" s="656" t="s">
        <v>64</v>
      </c>
      <c r="K10" s="581"/>
      <c r="L10" s="656" t="s">
        <v>18</v>
      </c>
      <c r="M10" s="538"/>
      <c r="N10" s="656" t="s">
        <v>17</v>
      </c>
      <c r="O10" s="538"/>
      <c r="P10" s="661" t="s">
        <v>85</v>
      </c>
      <c r="Q10" s="538"/>
      <c r="R10" s="662" t="s">
        <v>109</v>
      </c>
      <c r="S10" s="491"/>
    </row>
    <row r="11" spans="1:19">
      <c r="A11" s="490"/>
      <c r="B11" s="43"/>
      <c r="C11" s="43"/>
      <c r="D11" s="6"/>
      <c r="E11" s="43"/>
      <c r="F11" s="6"/>
      <c r="G11" s="6"/>
      <c r="H11" s="43"/>
      <c r="I11" s="3"/>
      <c r="J11" s="6"/>
      <c r="K11" s="3"/>
      <c r="L11" s="4"/>
      <c r="M11" s="490"/>
      <c r="N11" s="490"/>
      <c r="O11" s="490"/>
      <c r="P11" s="490"/>
      <c r="Q11" s="490"/>
      <c r="R11" s="490"/>
      <c r="S11" s="491"/>
    </row>
    <row r="12" spans="1:19" s="497" customFormat="1" ht="14.25" customHeight="1">
      <c r="A12" s="495"/>
      <c r="B12" s="77" t="s">
        <v>75</v>
      </c>
      <c r="C12" s="43"/>
      <c r="D12" s="644">
        <v>4</v>
      </c>
      <c r="E12" s="18"/>
      <c r="F12" s="646" t="s">
        <v>29</v>
      </c>
      <c r="G12" s="43"/>
      <c r="H12" s="650">
        <v>45000</v>
      </c>
      <c r="I12" s="3"/>
      <c r="J12" s="653"/>
      <c r="K12" s="3"/>
      <c r="L12" s="663">
        <f>IF(H12&gt;0,(J12*D12)/H12,0)</f>
        <v>0</v>
      </c>
      <c r="M12" s="495"/>
      <c r="N12" s="665">
        <f>L12*J6</f>
        <v>0</v>
      </c>
      <c r="O12" s="495"/>
      <c r="P12" s="665">
        <f>IF(Consolidado_Geral!$G$133=7.6%,-(0.0165+0.076)*N12,0)</f>
        <v>0</v>
      </c>
      <c r="Q12" s="495"/>
      <c r="R12" s="665">
        <f t="shared" ref="R12:R21" si="0">N12+P12</f>
        <v>0</v>
      </c>
      <c r="S12" s="496"/>
    </row>
    <row r="13" spans="1:19" s="497" customFormat="1" ht="14.25" customHeight="1">
      <c r="A13" s="495"/>
      <c r="B13" s="77" t="s">
        <v>74</v>
      </c>
      <c r="C13" s="18"/>
      <c r="D13" s="644">
        <v>1</v>
      </c>
      <c r="E13" s="18"/>
      <c r="F13" s="646" t="s">
        <v>63</v>
      </c>
      <c r="G13" s="43"/>
      <c r="H13" s="651">
        <v>12</v>
      </c>
      <c r="I13" s="3"/>
      <c r="J13" s="653"/>
      <c r="K13" s="3"/>
      <c r="L13" s="663">
        <f>IF(H13&gt;0,(J13/H13),0)</f>
        <v>0</v>
      </c>
      <c r="M13" s="495"/>
      <c r="N13" s="665">
        <f>L13*J6</f>
        <v>0</v>
      </c>
      <c r="O13" s="495"/>
      <c r="P13" s="665">
        <f>IF(Consolidado_Geral!$G$133=7.6%,-(0.0165+0.076)*N13,0)</f>
        <v>0</v>
      </c>
      <c r="Q13" s="495"/>
      <c r="R13" s="665">
        <f t="shared" si="0"/>
        <v>0</v>
      </c>
      <c r="S13" s="496"/>
    </row>
    <row r="14" spans="1:19" s="497" customFormat="1" ht="14.25" customHeight="1">
      <c r="A14" s="495"/>
      <c r="B14" s="77" t="s">
        <v>68</v>
      </c>
      <c r="C14" s="18"/>
      <c r="D14" s="644">
        <v>6</v>
      </c>
      <c r="E14" s="18"/>
      <c r="F14" s="647" t="s">
        <v>63</v>
      </c>
      <c r="G14" s="498"/>
      <c r="H14" s="650">
        <v>5000</v>
      </c>
      <c r="I14" s="3"/>
      <c r="J14" s="653"/>
      <c r="K14" s="3"/>
      <c r="L14" s="663">
        <f t="shared" ref="L14:L20" si="1">IF(H14&gt;0,(J14*D14)/H14,0)</f>
        <v>0</v>
      </c>
      <c r="M14" s="495"/>
      <c r="N14" s="665">
        <f>L14*J6</f>
        <v>0</v>
      </c>
      <c r="O14" s="495"/>
      <c r="P14" s="665">
        <f>IF(Consolidado_Geral!$G$133=7.6%,-(0.0165+0.076)*N14,0)</f>
        <v>0</v>
      </c>
      <c r="Q14" s="495"/>
      <c r="R14" s="665">
        <f t="shared" si="0"/>
        <v>0</v>
      </c>
      <c r="S14" s="496"/>
    </row>
    <row r="15" spans="1:19" s="497" customFormat="1" ht="14.25" customHeight="1">
      <c r="A15" s="495"/>
      <c r="B15" s="77" t="s">
        <v>69</v>
      </c>
      <c r="C15" s="18"/>
      <c r="D15" s="644">
        <v>1</v>
      </c>
      <c r="E15" s="18"/>
      <c r="F15" s="647" t="s">
        <v>63</v>
      </c>
      <c r="G15" s="498"/>
      <c r="H15" s="650">
        <v>5000</v>
      </c>
      <c r="I15" s="3"/>
      <c r="J15" s="653"/>
      <c r="K15" s="3"/>
      <c r="L15" s="663">
        <f t="shared" si="1"/>
        <v>0</v>
      </c>
      <c r="M15" s="495"/>
      <c r="N15" s="665">
        <f>L15*J6</f>
        <v>0</v>
      </c>
      <c r="O15" s="495"/>
      <c r="P15" s="665">
        <f>IF(Consolidado_Geral!$G$133=7.6%,-(0.0165+0.076)*N15,0)</f>
        <v>0</v>
      </c>
      <c r="Q15" s="495"/>
      <c r="R15" s="665">
        <f t="shared" si="0"/>
        <v>0</v>
      </c>
      <c r="S15" s="496"/>
    </row>
    <row r="16" spans="1:19" s="497" customFormat="1" ht="14.25" customHeight="1">
      <c r="A16" s="495"/>
      <c r="B16" s="77" t="s">
        <v>70</v>
      </c>
      <c r="C16" s="18"/>
      <c r="D16" s="644">
        <v>1</v>
      </c>
      <c r="E16" s="18"/>
      <c r="F16" s="647" t="s">
        <v>63</v>
      </c>
      <c r="G16" s="498"/>
      <c r="H16" s="650">
        <v>20000</v>
      </c>
      <c r="I16" s="3"/>
      <c r="J16" s="653"/>
      <c r="K16" s="3"/>
      <c r="L16" s="663">
        <f t="shared" si="1"/>
        <v>0</v>
      </c>
      <c r="M16" s="495"/>
      <c r="N16" s="665">
        <f>L16*J6</f>
        <v>0</v>
      </c>
      <c r="O16" s="495"/>
      <c r="P16" s="665">
        <f>IF(Consolidado_Geral!$G$133=7.6%,-(0.0165+0.076)*N16,0)</f>
        <v>0</v>
      </c>
      <c r="Q16" s="495"/>
      <c r="R16" s="665">
        <f t="shared" si="0"/>
        <v>0</v>
      </c>
      <c r="S16" s="496"/>
    </row>
    <row r="17" spans="1:20" s="497" customFormat="1" ht="14.25" customHeight="1">
      <c r="A17" s="495"/>
      <c r="B17" s="77" t="s">
        <v>71</v>
      </c>
      <c r="C17" s="18"/>
      <c r="D17" s="644">
        <v>1</v>
      </c>
      <c r="E17" s="18"/>
      <c r="F17" s="647" t="s">
        <v>63</v>
      </c>
      <c r="G17" s="498"/>
      <c r="H17" s="650">
        <v>20000</v>
      </c>
      <c r="I17" s="3"/>
      <c r="J17" s="653"/>
      <c r="K17" s="3"/>
      <c r="L17" s="663">
        <f t="shared" si="1"/>
        <v>0</v>
      </c>
      <c r="M17" s="495"/>
      <c r="N17" s="665">
        <f>L17*J6</f>
        <v>0</v>
      </c>
      <c r="O17" s="495"/>
      <c r="P17" s="665">
        <f>IF(Consolidado_Geral!$G$133=7.6%,-(0.0165+0.076)*N17,0)</f>
        <v>0</v>
      </c>
      <c r="Q17" s="495"/>
      <c r="R17" s="665">
        <f t="shared" si="0"/>
        <v>0</v>
      </c>
      <c r="S17" s="496"/>
    </row>
    <row r="18" spans="1:20" s="497" customFormat="1" ht="14.25" customHeight="1">
      <c r="A18" s="495"/>
      <c r="B18" s="680" t="s">
        <v>72</v>
      </c>
      <c r="C18" s="499"/>
      <c r="D18" s="644">
        <v>1</v>
      </c>
      <c r="E18" s="499"/>
      <c r="F18" s="648" t="s">
        <v>63</v>
      </c>
      <c r="G18" s="500"/>
      <c r="H18" s="650">
        <v>20000</v>
      </c>
      <c r="I18" s="3"/>
      <c r="J18" s="653"/>
      <c r="K18" s="3"/>
      <c r="L18" s="663">
        <f t="shared" si="1"/>
        <v>0</v>
      </c>
      <c r="M18" s="495"/>
      <c r="N18" s="665">
        <f>L18*J6</f>
        <v>0</v>
      </c>
      <c r="O18" s="495"/>
      <c r="P18" s="665">
        <f>IF(Consolidado_Geral!$G$133=7.6%,-(0.0165+0.076)*N18,0)</f>
        <v>0</v>
      </c>
      <c r="Q18" s="495"/>
      <c r="R18" s="665">
        <f t="shared" si="0"/>
        <v>0</v>
      </c>
      <c r="S18" s="496"/>
    </row>
    <row r="19" spans="1:20" s="497" customFormat="1" ht="14.25" customHeight="1">
      <c r="A19" s="495"/>
      <c r="B19" s="77" t="s">
        <v>73</v>
      </c>
      <c r="C19" s="18"/>
      <c r="D19" s="644">
        <v>1</v>
      </c>
      <c r="E19" s="18"/>
      <c r="F19" s="648" t="s">
        <v>29</v>
      </c>
      <c r="G19" s="500"/>
      <c r="H19" s="650">
        <v>4000</v>
      </c>
      <c r="I19" s="3"/>
      <c r="J19" s="653"/>
      <c r="K19" s="3"/>
      <c r="L19" s="663">
        <f t="shared" si="1"/>
        <v>0</v>
      </c>
      <c r="M19" s="495"/>
      <c r="N19" s="665">
        <f>L19*J6</f>
        <v>0</v>
      </c>
      <c r="O19" s="495"/>
      <c r="P19" s="665">
        <f>IF(Consolidado_Geral!$G$133=7.6%,-(0.0165+0.076)*N19,0)</f>
        <v>0</v>
      </c>
      <c r="Q19" s="495"/>
      <c r="R19" s="665">
        <f t="shared" si="0"/>
        <v>0</v>
      </c>
      <c r="S19" s="496"/>
    </row>
    <row r="20" spans="1:20" s="497" customFormat="1" ht="14.25" customHeight="1" thickBot="1">
      <c r="A20" s="495"/>
      <c r="B20" s="66" t="s">
        <v>76</v>
      </c>
      <c r="C20" s="3"/>
      <c r="D20" s="645">
        <v>4</v>
      </c>
      <c r="E20" s="3"/>
      <c r="F20" s="649" t="s">
        <v>29</v>
      </c>
      <c r="G20" s="3"/>
      <c r="H20" s="650">
        <v>40000</v>
      </c>
      <c r="I20" s="3"/>
      <c r="J20" s="653"/>
      <c r="K20" s="3"/>
      <c r="L20" s="663">
        <f t="shared" si="1"/>
        <v>0</v>
      </c>
      <c r="M20" s="495"/>
      <c r="N20" s="665">
        <f>L20*J6</f>
        <v>0</v>
      </c>
      <c r="O20" s="495"/>
      <c r="P20" s="665">
        <f>IF(Consolidado_Geral!$G$133=7.6%,-(0.0165+0.076)*N20,0)</f>
        <v>0</v>
      </c>
      <c r="Q20" s="495"/>
      <c r="R20" s="665">
        <f t="shared" si="0"/>
        <v>0</v>
      </c>
      <c r="S20" s="496"/>
    </row>
    <row r="21" spans="1:20" ht="14.25" customHeight="1" thickBot="1">
      <c r="A21" s="490"/>
      <c r="B21" s="681" t="s">
        <v>230</v>
      </c>
      <c r="C21" s="3"/>
      <c r="D21" s="497"/>
      <c r="E21" s="3"/>
      <c r="F21" s="500"/>
      <c r="G21" s="3"/>
      <c r="H21" s="652">
        <v>20000</v>
      </c>
      <c r="I21" s="3"/>
      <c r="J21" s="553"/>
      <c r="K21" s="3"/>
      <c r="L21" s="664">
        <f>IF(H21&gt;0,J21*(R6-(D13*J13))/H21,0)</f>
        <v>0</v>
      </c>
      <c r="M21" s="490"/>
      <c r="N21" s="666">
        <f>L21*J6</f>
        <v>0</v>
      </c>
      <c r="O21" s="490"/>
      <c r="P21" s="666">
        <f>IF(Consolidado_Geral!$G$133=7.6%,-(0.0165+0.076)*N21,0)</f>
        <v>0</v>
      </c>
      <c r="Q21" s="490"/>
      <c r="R21" s="666">
        <f t="shared" si="0"/>
        <v>0</v>
      </c>
      <c r="S21" s="491"/>
    </row>
    <row r="22" spans="1:20" ht="4.5" customHeight="1">
      <c r="A22" s="490"/>
      <c r="B22" s="490"/>
      <c r="C22" s="490"/>
      <c r="D22" s="490"/>
      <c r="E22" s="3"/>
      <c r="F22" s="4"/>
      <c r="G22" s="4"/>
      <c r="H22" s="4"/>
      <c r="I22" s="4"/>
      <c r="J22" s="4"/>
      <c r="K22" s="3"/>
      <c r="L22" s="4"/>
      <c r="M22" s="490"/>
      <c r="N22" s="490"/>
      <c r="O22" s="490"/>
      <c r="P22" s="490"/>
      <c r="Q22" s="490"/>
      <c r="R22" s="490"/>
      <c r="S22" s="491"/>
    </row>
    <row r="23" spans="1:20" s="497" customFormat="1" ht="16.5" customHeight="1" thickBot="1">
      <c r="A23" s="495"/>
      <c r="B23" s="3"/>
      <c r="C23" s="3"/>
      <c r="D23" s="44"/>
      <c r="E23" s="3"/>
      <c r="F23" s="3"/>
      <c r="G23" s="3"/>
      <c r="H23" s="501"/>
      <c r="I23" s="36"/>
      <c r="J23" s="682" t="s">
        <v>109</v>
      </c>
      <c r="K23" s="502"/>
      <c r="L23" s="667">
        <f>SUM(L12:L20)</f>
        <v>0</v>
      </c>
      <c r="M23" s="495"/>
      <c r="N23" s="668">
        <f>SUM(N12:N20)</f>
        <v>0</v>
      </c>
      <c r="O23" s="495"/>
      <c r="P23" s="668">
        <f>SUM(P12:P20)</f>
        <v>0</v>
      </c>
      <c r="Q23" s="495"/>
      <c r="R23" s="668">
        <f>SUM(R12:R21)</f>
        <v>0</v>
      </c>
      <c r="S23" s="496"/>
      <c r="T23" s="503"/>
    </row>
    <row r="24" spans="1:20" ht="8.25" customHeight="1">
      <c r="A24" s="490"/>
      <c r="B24" s="4"/>
      <c r="C24" s="4"/>
      <c r="D24" s="10"/>
      <c r="E24" s="3"/>
      <c r="F24" s="504"/>
      <c r="G24" s="4"/>
      <c r="H24" s="490"/>
      <c r="I24" s="490"/>
      <c r="J24" s="505"/>
      <c r="K24" s="3"/>
      <c r="L24" s="4"/>
      <c r="M24" s="490"/>
      <c r="N24" s="490"/>
      <c r="O24" s="490"/>
      <c r="P24" s="490"/>
      <c r="Q24" s="490"/>
      <c r="R24" s="490"/>
      <c r="S24" s="491"/>
    </row>
    <row r="25" spans="1:20" s="507" customFormat="1" ht="16.5" customHeight="1" thickBot="1">
      <c r="A25" s="492"/>
      <c r="B25" s="639"/>
      <c r="C25" s="640"/>
      <c r="D25" s="640"/>
      <c r="E25" s="640"/>
      <c r="F25" s="640"/>
      <c r="G25" s="641"/>
      <c r="H25" s="640"/>
      <c r="I25" s="640"/>
      <c r="J25" s="656" t="s">
        <v>43</v>
      </c>
      <c r="K25" s="640"/>
      <c r="L25" s="640"/>
      <c r="M25" s="641"/>
      <c r="N25" s="641"/>
      <c r="O25" s="641"/>
      <c r="P25" s="641"/>
      <c r="Q25" s="641"/>
      <c r="R25" s="642"/>
      <c r="S25" s="506"/>
    </row>
    <row r="26" spans="1:20" ht="13.5" customHeight="1">
      <c r="A26" s="490"/>
      <c r="B26" s="6"/>
      <c r="C26" s="6"/>
      <c r="D26" s="6"/>
      <c r="E26" s="6"/>
      <c r="F26" s="6"/>
      <c r="G26" s="6"/>
      <c r="H26" s="6"/>
      <c r="I26" s="6"/>
      <c r="J26" s="669" t="s">
        <v>81</v>
      </c>
      <c r="K26" s="508"/>
      <c r="L26" s="669" t="s">
        <v>82</v>
      </c>
      <c r="M26" s="490"/>
      <c r="N26" s="490"/>
      <c r="O26" s="490"/>
      <c r="P26" s="490"/>
      <c r="Q26" s="490"/>
      <c r="R26" s="490"/>
      <c r="S26" s="491"/>
    </row>
    <row r="27" spans="1:20" ht="16.5" customHeight="1" thickBot="1">
      <c r="A27" s="490"/>
      <c r="B27" s="100" t="s">
        <v>231</v>
      </c>
      <c r="C27" s="672"/>
      <c r="D27" s="672"/>
      <c r="E27" s="672"/>
      <c r="F27" s="672"/>
      <c r="G27" s="672"/>
      <c r="H27" s="672"/>
      <c r="I27" s="6"/>
      <c r="J27" s="654"/>
      <c r="K27" s="6"/>
      <c r="L27" s="670">
        <f>J27/12</f>
        <v>0</v>
      </c>
      <c r="M27" s="490"/>
      <c r="N27" s="490"/>
      <c r="O27" s="490"/>
      <c r="P27" s="490"/>
      <c r="Q27" s="490"/>
      <c r="R27" s="490"/>
      <c r="S27" s="491"/>
    </row>
    <row r="28" spans="1:20" ht="3.75" customHeight="1">
      <c r="A28" s="490"/>
      <c r="B28" s="672"/>
      <c r="C28" s="672"/>
      <c r="D28" s="672"/>
      <c r="E28" s="672"/>
      <c r="F28" s="672"/>
      <c r="G28" s="672"/>
      <c r="H28" s="672"/>
      <c r="I28" s="6"/>
      <c r="J28" s="6"/>
      <c r="K28" s="6"/>
      <c r="L28" s="671"/>
      <c r="M28" s="490"/>
      <c r="N28" s="490"/>
      <c r="O28" s="490"/>
      <c r="P28" s="490"/>
      <c r="Q28" s="490"/>
      <c r="R28" s="490"/>
      <c r="S28" s="491"/>
    </row>
    <row r="29" spans="1:20" ht="16.5" customHeight="1" thickBot="1">
      <c r="A29" s="490"/>
      <c r="B29" s="101" t="s">
        <v>77</v>
      </c>
      <c r="C29" s="672"/>
      <c r="D29" s="672"/>
      <c r="E29" s="672"/>
      <c r="F29" s="672"/>
      <c r="G29" s="672"/>
      <c r="H29" s="672"/>
      <c r="I29" s="6"/>
      <c r="J29" s="654"/>
      <c r="K29" s="6"/>
      <c r="L29" s="670">
        <f>J29/12</f>
        <v>0</v>
      </c>
      <c r="M29" s="490"/>
      <c r="N29" s="490"/>
      <c r="O29" s="490"/>
      <c r="P29" s="560" t="s">
        <v>178</v>
      </c>
      <c r="Q29" s="490"/>
      <c r="R29" s="675">
        <f>SUM(L27:L29)</f>
        <v>0</v>
      </c>
      <c r="S29" s="491"/>
    </row>
    <row r="30" spans="1:20">
      <c r="A30" s="490"/>
      <c r="B30" s="4"/>
      <c r="C30" s="4"/>
      <c r="D30" s="10"/>
      <c r="E30" s="3"/>
      <c r="F30" s="4"/>
      <c r="G30" s="4"/>
      <c r="H30" s="492"/>
      <c r="I30" s="492"/>
      <c r="J30" s="505"/>
      <c r="K30" s="3"/>
      <c r="L30" s="4"/>
      <c r="M30" s="490"/>
      <c r="N30" s="490"/>
      <c r="O30" s="490"/>
      <c r="P30" s="490"/>
      <c r="Q30" s="490"/>
      <c r="R30" s="490"/>
      <c r="S30" s="491"/>
    </row>
    <row r="31" spans="1:20" ht="21.75" customHeight="1" thickBot="1">
      <c r="A31" s="490"/>
      <c r="B31" s="490"/>
      <c r="C31" s="490"/>
      <c r="D31" s="490"/>
      <c r="E31" s="3"/>
      <c r="F31" s="4"/>
      <c r="G31" s="4"/>
      <c r="H31" s="492"/>
      <c r="I31" s="492"/>
      <c r="J31" s="490"/>
      <c r="K31" s="509"/>
      <c r="L31" s="490"/>
      <c r="M31" s="490"/>
      <c r="N31" s="490"/>
      <c r="O31" s="492"/>
      <c r="P31" s="673" t="s">
        <v>44</v>
      </c>
      <c r="Q31" s="643"/>
      <c r="R31" s="674">
        <f>IF(J6&gt;0,R23+R29,0)</f>
        <v>0</v>
      </c>
      <c r="S31" s="491"/>
    </row>
    <row r="32" spans="1:20" s="690" customFormat="1" ht="15" customHeight="1">
      <c r="A32" s="686"/>
      <c r="B32" s="686"/>
      <c r="C32" s="686"/>
      <c r="D32" s="10"/>
      <c r="E32" s="3"/>
      <c r="F32" s="4"/>
      <c r="G32" s="4"/>
      <c r="H32" s="686"/>
      <c r="I32" s="687"/>
      <c r="J32" s="688"/>
      <c r="K32" s="6"/>
      <c r="L32" s="6"/>
      <c r="M32" s="6"/>
      <c r="N32" s="689"/>
      <c r="O32" s="688"/>
      <c r="P32" s="686"/>
      <c r="Q32" s="686"/>
      <c r="R32" s="686"/>
      <c r="S32" s="686"/>
    </row>
    <row r="33" spans="1:19" s="690" customFormat="1" ht="15" hidden="1">
      <c r="C33" s="691"/>
      <c r="D33" s="692"/>
      <c r="E33" s="693"/>
      <c r="F33" s="694"/>
      <c r="G33" s="691"/>
      <c r="J33" s="695"/>
      <c r="K33" s="696"/>
      <c r="L33" s="696"/>
      <c r="M33" s="696"/>
      <c r="N33" s="697"/>
      <c r="O33" s="695"/>
    </row>
    <row r="34" spans="1:19" ht="21" hidden="1" customHeight="1" thickBot="1">
      <c r="A34" s="490"/>
      <c r="B34" s="1073" t="s">
        <v>408</v>
      </c>
      <c r="C34" s="1074"/>
      <c r="D34" s="1074"/>
      <c r="E34" s="1074"/>
      <c r="F34" s="1074"/>
      <c r="G34" s="1074"/>
      <c r="H34" s="1074"/>
      <c r="I34" s="1074"/>
      <c r="J34" s="1074"/>
      <c r="K34" s="1074"/>
      <c r="L34" s="1074"/>
      <c r="M34" s="1074"/>
      <c r="N34" s="1074"/>
      <c r="O34" s="1074"/>
      <c r="P34" s="1074"/>
      <c r="Q34" s="1074"/>
      <c r="R34" s="1075"/>
      <c r="S34" s="491"/>
    </row>
    <row r="35" spans="1:19" ht="9" hidden="1" customHeight="1">
      <c r="A35" s="490"/>
      <c r="B35" s="6"/>
      <c r="C35" s="6"/>
      <c r="D35" s="6"/>
      <c r="E35" s="6"/>
      <c r="F35" s="6"/>
      <c r="G35" s="6"/>
      <c r="H35" s="6"/>
      <c r="I35" s="6"/>
      <c r="J35" s="6"/>
      <c r="K35" s="6"/>
      <c r="L35" s="490"/>
      <c r="M35" s="490"/>
      <c r="N35" s="490"/>
      <c r="O35" s="490"/>
      <c r="P35" s="490"/>
      <c r="Q35" s="490"/>
      <c r="R35" s="490"/>
      <c r="S35" s="491"/>
    </row>
    <row r="36" spans="1:19" ht="15.75" hidden="1" customHeight="1" thickBot="1">
      <c r="A36" s="490"/>
      <c r="B36" s="676" t="s">
        <v>16</v>
      </c>
      <c r="C36" s="66"/>
      <c r="D36" s="677"/>
      <c r="E36" s="77"/>
      <c r="F36" s="678"/>
      <c r="G36" s="679"/>
      <c r="H36" s="73"/>
      <c r="I36" s="490"/>
      <c r="J36" s="655"/>
      <c r="K36" s="698" t="s">
        <v>20</v>
      </c>
      <c r="L36" s="491"/>
      <c r="N36" s="679"/>
      <c r="O36" s="490"/>
      <c r="P36" s="699" t="s">
        <v>229</v>
      </c>
      <c r="Q36" s="490"/>
      <c r="R36" s="654"/>
      <c r="S36" s="491"/>
    </row>
    <row r="37" spans="1:19" ht="9" hidden="1" customHeight="1">
      <c r="A37" s="490"/>
      <c r="B37" s="3"/>
      <c r="C37" s="3"/>
      <c r="D37" s="8"/>
      <c r="E37" s="18"/>
      <c r="F37" s="492"/>
      <c r="G37" s="3"/>
      <c r="H37" s="492"/>
      <c r="I37" s="492"/>
      <c r="J37" s="493"/>
      <c r="K37" s="490"/>
      <c r="L37" s="494"/>
      <c r="M37" s="490"/>
      <c r="N37" s="490"/>
      <c r="O37" s="490"/>
      <c r="P37" s="490"/>
      <c r="Q37" s="490"/>
      <c r="R37" s="490"/>
      <c r="S37" s="491"/>
    </row>
    <row r="38" spans="1:19" ht="16.5" hidden="1" customHeight="1" thickBot="1">
      <c r="A38" s="490"/>
      <c r="B38" s="657"/>
      <c r="C38" s="656"/>
      <c r="D38" s="656"/>
      <c r="E38" s="656"/>
      <c r="F38" s="656"/>
      <c r="G38" s="538"/>
      <c r="H38" s="656"/>
      <c r="I38" s="656"/>
      <c r="J38" s="656" t="s">
        <v>19</v>
      </c>
      <c r="K38" s="656"/>
      <c r="L38" s="656"/>
      <c r="M38" s="538"/>
      <c r="N38" s="538"/>
      <c r="O38" s="538"/>
      <c r="P38" s="538"/>
      <c r="Q38" s="538"/>
      <c r="R38" s="539"/>
      <c r="S38" s="491"/>
    </row>
    <row r="39" spans="1:19" ht="6.75" hidden="1" customHeight="1">
      <c r="A39" s="490"/>
      <c r="B39" s="3"/>
      <c r="C39" s="3"/>
      <c r="D39" s="3"/>
      <c r="E39" s="3"/>
      <c r="F39" s="4"/>
      <c r="G39" s="4"/>
      <c r="H39" s="4"/>
      <c r="I39" s="4"/>
      <c r="J39" s="4"/>
      <c r="K39" s="3"/>
      <c r="L39" s="490"/>
      <c r="M39" s="490"/>
      <c r="N39" s="490"/>
      <c r="O39" s="490"/>
      <c r="P39" s="490"/>
      <c r="Q39" s="490"/>
      <c r="R39" s="490"/>
      <c r="S39" s="491"/>
    </row>
    <row r="40" spans="1:19" ht="25.5" hidden="1" customHeight="1" thickBot="1">
      <c r="A40" s="490"/>
      <c r="B40" s="658" t="s">
        <v>100</v>
      </c>
      <c r="C40" s="659"/>
      <c r="D40" s="656" t="s">
        <v>65</v>
      </c>
      <c r="E40" s="659"/>
      <c r="F40" s="660" t="s">
        <v>66</v>
      </c>
      <c r="G40" s="660"/>
      <c r="H40" s="659" t="s">
        <v>67</v>
      </c>
      <c r="I40" s="581"/>
      <c r="J40" s="656" t="s">
        <v>64</v>
      </c>
      <c r="K40" s="581"/>
      <c r="L40" s="656" t="s">
        <v>18</v>
      </c>
      <c r="M40" s="538"/>
      <c r="N40" s="656" t="s">
        <v>17</v>
      </c>
      <c r="O40" s="538"/>
      <c r="P40" s="661" t="s">
        <v>85</v>
      </c>
      <c r="Q40" s="538"/>
      <c r="R40" s="662" t="s">
        <v>109</v>
      </c>
      <c r="S40" s="491"/>
    </row>
    <row r="41" spans="1:19" hidden="1">
      <c r="A41" s="490"/>
      <c r="B41" s="43"/>
      <c r="C41" s="43"/>
      <c r="D41" s="6"/>
      <c r="E41" s="43"/>
      <c r="F41" s="6"/>
      <c r="G41" s="6"/>
      <c r="H41" s="43"/>
      <c r="I41" s="3"/>
      <c r="J41" s="6"/>
      <c r="K41" s="3"/>
      <c r="L41" s="4"/>
      <c r="M41" s="490"/>
      <c r="N41" s="490"/>
      <c r="O41" s="490"/>
      <c r="P41" s="490"/>
      <c r="Q41" s="490"/>
      <c r="R41" s="490"/>
      <c r="S41" s="491"/>
    </row>
    <row r="42" spans="1:19" s="497" customFormat="1" ht="14.25" hidden="1" customHeight="1">
      <c r="A42" s="495"/>
      <c r="B42" s="77" t="s">
        <v>75</v>
      </c>
      <c r="C42" s="43"/>
      <c r="D42" s="644">
        <v>4</v>
      </c>
      <c r="E42" s="18"/>
      <c r="F42" s="646" t="s">
        <v>29</v>
      </c>
      <c r="G42" s="43"/>
      <c r="H42" s="650"/>
      <c r="I42" s="3"/>
      <c r="J42" s="653"/>
      <c r="K42" s="3"/>
      <c r="L42" s="663">
        <f>IF(H42&gt;0,(J42*D42)/H42,0)</f>
        <v>0</v>
      </c>
      <c r="M42" s="495"/>
      <c r="N42" s="665">
        <f>L42*J36</f>
        <v>0</v>
      </c>
      <c r="O42" s="495"/>
      <c r="P42" s="665">
        <f>IF(Consolidado_Geral!$G$133=7.6%,-(0.0165+0.076)*N42,0)</f>
        <v>0</v>
      </c>
      <c r="Q42" s="495"/>
      <c r="R42" s="665">
        <f t="shared" ref="R42:R51" si="2">N42+P42</f>
        <v>0</v>
      </c>
      <c r="S42" s="496"/>
    </row>
    <row r="43" spans="1:19" s="497" customFormat="1" ht="14.25" hidden="1" customHeight="1">
      <c r="A43" s="495"/>
      <c r="B43" s="77" t="s">
        <v>74</v>
      </c>
      <c r="C43" s="18"/>
      <c r="D43" s="644">
        <v>1</v>
      </c>
      <c r="E43" s="18"/>
      <c r="F43" s="646" t="s">
        <v>63</v>
      </c>
      <c r="G43" s="43"/>
      <c r="H43" s="651"/>
      <c r="I43" s="3"/>
      <c r="J43" s="653"/>
      <c r="K43" s="3"/>
      <c r="L43" s="663">
        <f>IF(H43&gt;0,(J43/H43),0)</f>
        <v>0</v>
      </c>
      <c r="M43" s="495"/>
      <c r="N43" s="665">
        <f>L43*J36</f>
        <v>0</v>
      </c>
      <c r="O43" s="495"/>
      <c r="P43" s="665">
        <f>IF(Consolidado_Geral!$G$133=7.6%,-(0.0165+0.076)*N43,0)</f>
        <v>0</v>
      </c>
      <c r="Q43" s="495"/>
      <c r="R43" s="665">
        <f t="shared" si="2"/>
        <v>0</v>
      </c>
      <c r="S43" s="496"/>
    </row>
    <row r="44" spans="1:19" s="497" customFormat="1" ht="14.25" hidden="1" customHeight="1">
      <c r="A44" s="495"/>
      <c r="B44" s="77" t="s">
        <v>68</v>
      </c>
      <c r="C44" s="18"/>
      <c r="D44" s="644"/>
      <c r="E44" s="18"/>
      <c r="F44" s="647" t="s">
        <v>63</v>
      </c>
      <c r="G44" s="498"/>
      <c r="H44" s="650"/>
      <c r="I44" s="3"/>
      <c r="J44" s="653"/>
      <c r="K44" s="3"/>
      <c r="L44" s="663">
        <f t="shared" ref="L44:L50" si="3">IF(H44&gt;0,(J44*D44)/H44,0)</f>
        <v>0</v>
      </c>
      <c r="M44" s="495"/>
      <c r="N44" s="665">
        <f>L44*J36</f>
        <v>0</v>
      </c>
      <c r="O44" s="495"/>
      <c r="P44" s="665">
        <f>IF(Consolidado_Geral!$G$133=7.6%,-(0.0165+0.076)*N44,0)</f>
        <v>0</v>
      </c>
      <c r="Q44" s="495"/>
      <c r="R44" s="665">
        <f t="shared" si="2"/>
        <v>0</v>
      </c>
      <c r="S44" s="496"/>
    </row>
    <row r="45" spans="1:19" s="497" customFormat="1" ht="14.25" hidden="1" customHeight="1">
      <c r="A45" s="495"/>
      <c r="B45" s="77" t="s">
        <v>69</v>
      </c>
      <c r="C45" s="18"/>
      <c r="D45" s="644">
        <v>1</v>
      </c>
      <c r="E45" s="18"/>
      <c r="F45" s="647" t="s">
        <v>63</v>
      </c>
      <c r="G45" s="498"/>
      <c r="H45" s="650"/>
      <c r="I45" s="3"/>
      <c r="J45" s="653"/>
      <c r="K45" s="3"/>
      <c r="L45" s="663">
        <f t="shared" si="3"/>
        <v>0</v>
      </c>
      <c r="M45" s="495"/>
      <c r="N45" s="665">
        <f>L45*J36</f>
        <v>0</v>
      </c>
      <c r="O45" s="495"/>
      <c r="P45" s="665">
        <f>IF(Consolidado_Geral!$G$133=7.6%,-(0.0165+0.076)*N45,0)</f>
        <v>0</v>
      </c>
      <c r="Q45" s="495"/>
      <c r="R45" s="665">
        <f t="shared" si="2"/>
        <v>0</v>
      </c>
      <c r="S45" s="496"/>
    </row>
    <row r="46" spans="1:19" s="497" customFormat="1" ht="14.25" hidden="1" customHeight="1">
      <c r="A46" s="495"/>
      <c r="B46" s="77" t="s">
        <v>70</v>
      </c>
      <c r="C46" s="18"/>
      <c r="D46" s="644">
        <v>1</v>
      </c>
      <c r="E46" s="18"/>
      <c r="F46" s="647" t="s">
        <v>63</v>
      </c>
      <c r="G46" s="498"/>
      <c r="H46" s="650"/>
      <c r="I46" s="3"/>
      <c r="J46" s="653"/>
      <c r="K46" s="3"/>
      <c r="L46" s="663">
        <f t="shared" si="3"/>
        <v>0</v>
      </c>
      <c r="M46" s="495"/>
      <c r="N46" s="665">
        <f>L46*J36</f>
        <v>0</v>
      </c>
      <c r="O46" s="495"/>
      <c r="P46" s="665">
        <f>IF(Consolidado_Geral!$G$133=7.6%,-(0.0165+0.076)*N46,0)</f>
        <v>0</v>
      </c>
      <c r="Q46" s="495"/>
      <c r="R46" s="665">
        <f t="shared" si="2"/>
        <v>0</v>
      </c>
      <c r="S46" s="496"/>
    </row>
    <row r="47" spans="1:19" s="497" customFormat="1" ht="14.25" hidden="1" customHeight="1">
      <c r="A47" s="495"/>
      <c r="B47" s="77" t="s">
        <v>71</v>
      </c>
      <c r="C47" s="18"/>
      <c r="D47" s="644">
        <v>1</v>
      </c>
      <c r="E47" s="18"/>
      <c r="F47" s="647" t="s">
        <v>63</v>
      </c>
      <c r="G47" s="498"/>
      <c r="H47" s="650"/>
      <c r="I47" s="3"/>
      <c r="J47" s="653"/>
      <c r="K47" s="3"/>
      <c r="L47" s="663">
        <f t="shared" si="3"/>
        <v>0</v>
      </c>
      <c r="M47" s="495"/>
      <c r="N47" s="665">
        <f>L47*J36</f>
        <v>0</v>
      </c>
      <c r="O47" s="495"/>
      <c r="P47" s="665">
        <f>IF(Consolidado_Geral!$G$133=7.6%,-(0.0165+0.076)*N47,0)</f>
        <v>0</v>
      </c>
      <c r="Q47" s="495"/>
      <c r="R47" s="665">
        <f t="shared" si="2"/>
        <v>0</v>
      </c>
      <c r="S47" s="496"/>
    </row>
    <row r="48" spans="1:19" s="497" customFormat="1" ht="14.25" hidden="1" customHeight="1">
      <c r="A48" s="495"/>
      <c r="B48" s="680" t="s">
        <v>72</v>
      </c>
      <c r="C48" s="499"/>
      <c r="D48" s="644">
        <v>1</v>
      </c>
      <c r="E48" s="499"/>
      <c r="F48" s="648" t="s">
        <v>63</v>
      </c>
      <c r="G48" s="500"/>
      <c r="H48" s="650"/>
      <c r="I48" s="3"/>
      <c r="J48" s="653"/>
      <c r="K48" s="3"/>
      <c r="L48" s="663">
        <f t="shared" si="3"/>
        <v>0</v>
      </c>
      <c r="M48" s="495"/>
      <c r="N48" s="665">
        <f>L48*J36</f>
        <v>0</v>
      </c>
      <c r="O48" s="495"/>
      <c r="P48" s="665">
        <f>IF(Consolidado_Geral!$G$133=7.6%,-(0.0165+0.076)*N48,0)</f>
        <v>0</v>
      </c>
      <c r="Q48" s="495"/>
      <c r="R48" s="665">
        <f t="shared" si="2"/>
        <v>0</v>
      </c>
      <c r="S48" s="496"/>
    </row>
    <row r="49" spans="1:20" s="497" customFormat="1" ht="14.25" hidden="1" customHeight="1">
      <c r="A49" s="495"/>
      <c r="B49" s="77" t="s">
        <v>73</v>
      </c>
      <c r="C49" s="18"/>
      <c r="D49" s="644">
        <v>1</v>
      </c>
      <c r="E49" s="18"/>
      <c r="F49" s="648" t="s">
        <v>29</v>
      </c>
      <c r="G49" s="500"/>
      <c r="H49" s="650"/>
      <c r="I49" s="3"/>
      <c r="J49" s="653"/>
      <c r="K49" s="3"/>
      <c r="L49" s="663">
        <f t="shared" si="3"/>
        <v>0</v>
      </c>
      <c r="M49" s="495"/>
      <c r="N49" s="665">
        <f>L49*J36</f>
        <v>0</v>
      </c>
      <c r="O49" s="495"/>
      <c r="P49" s="665">
        <f>IF(Consolidado_Geral!$G$133=7.6%,-(0.0165+0.076)*N49,0)</f>
        <v>0</v>
      </c>
      <c r="Q49" s="495"/>
      <c r="R49" s="665">
        <f t="shared" si="2"/>
        <v>0</v>
      </c>
      <c r="S49" s="496"/>
    </row>
    <row r="50" spans="1:20" s="497" customFormat="1" ht="14.25" hidden="1" customHeight="1" thickBot="1">
      <c r="A50" s="495"/>
      <c r="B50" s="66" t="s">
        <v>76</v>
      </c>
      <c r="C50" s="3"/>
      <c r="D50" s="645"/>
      <c r="E50" s="3"/>
      <c r="F50" s="649" t="s">
        <v>29</v>
      </c>
      <c r="G50" s="3"/>
      <c r="H50" s="650"/>
      <c r="I50" s="3"/>
      <c r="J50" s="653"/>
      <c r="K50" s="3"/>
      <c r="L50" s="663">
        <f t="shared" si="3"/>
        <v>0</v>
      </c>
      <c r="M50" s="495"/>
      <c r="N50" s="665">
        <f>L50*J36</f>
        <v>0</v>
      </c>
      <c r="O50" s="495"/>
      <c r="P50" s="665">
        <f>IF(Consolidado_Geral!$G$133=7.6%,-(0.0165+0.076)*N50,0)</f>
        <v>0</v>
      </c>
      <c r="Q50" s="495"/>
      <c r="R50" s="665">
        <f t="shared" si="2"/>
        <v>0</v>
      </c>
      <c r="S50" s="496"/>
    </row>
    <row r="51" spans="1:20" ht="14.25" hidden="1" customHeight="1" thickBot="1">
      <c r="A51" s="490"/>
      <c r="B51" s="681" t="s">
        <v>230</v>
      </c>
      <c r="C51" s="3"/>
      <c r="D51" s="497"/>
      <c r="E51" s="3"/>
      <c r="F51" s="500"/>
      <c r="G51" s="3"/>
      <c r="H51" s="652"/>
      <c r="I51" s="3"/>
      <c r="J51" s="553">
        <v>0.01</v>
      </c>
      <c r="K51" s="3"/>
      <c r="L51" s="664">
        <f>IF(H51&gt;0,J51*(R36-(D43*J43))/H51,0)</f>
        <v>0</v>
      </c>
      <c r="M51" s="490"/>
      <c r="N51" s="666">
        <f>L51*J36</f>
        <v>0</v>
      </c>
      <c r="O51" s="490"/>
      <c r="P51" s="666">
        <f>IF(Consolidado_Geral!$G$133=7.6%,-(0.0165+0.076)*N51,0)</f>
        <v>0</v>
      </c>
      <c r="Q51" s="490"/>
      <c r="R51" s="666">
        <f t="shared" si="2"/>
        <v>0</v>
      </c>
      <c r="S51" s="491"/>
    </row>
    <row r="52" spans="1:20" ht="4.5" hidden="1" customHeight="1">
      <c r="A52" s="490"/>
      <c r="B52" s="490"/>
      <c r="C52" s="490"/>
      <c r="D52" s="490"/>
      <c r="E52" s="3"/>
      <c r="F52" s="4"/>
      <c r="G52" s="4"/>
      <c r="H52" s="4"/>
      <c r="I52" s="4"/>
      <c r="J52" s="4"/>
      <c r="K52" s="3"/>
      <c r="L52" s="4"/>
      <c r="M52" s="490"/>
      <c r="N52" s="490"/>
      <c r="O52" s="490"/>
      <c r="P52" s="490"/>
      <c r="Q52" s="490"/>
      <c r="R52" s="490"/>
      <c r="S52" s="491"/>
    </row>
    <row r="53" spans="1:20" s="497" customFormat="1" ht="16.5" hidden="1" customHeight="1" thickBot="1">
      <c r="A53" s="495"/>
      <c r="B53" s="3"/>
      <c r="C53" s="3"/>
      <c r="D53" s="44"/>
      <c r="E53" s="3"/>
      <c r="F53" s="3"/>
      <c r="G53" s="3"/>
      <c r="H53" s="501"/>
      <c r="I53" s="36"/>
      <c r="J53" s="682" t="s">
        <v>109</v>
      </c>
      <c r="K53" s="502"/>
      <c r="L53" s="667">
        <f>SUM(L42:L50)</f>
        <v>0</v>
      </c>
      <c r="M53" s="495"/>
      <c r="N53" s="668">
        <f>SUM(N42:N50)</f>
        <v>0</v>
      </c>
      <c r="O53" s="495"/>
      <c r="P53" s="668">
        <f>SUM(P42:P50)</f>
        <v>0</v>
      </c>
      <c r="Q53" s="495"/>
      <c r="R53" s="668">
        <f>SUM(R42:R51)</f>
        <v>0</v>
      </c>
      <c r="S53" s="496"/>
      <c r="T53" s="503"/>
    </row>
    <row r="54" spans="1:20" ht="8.25" hidden="1" customHeight="1">
      <c r="A54" s="490"/>
      <c r="B54" s="4"/>
      <c r="C54" s="4"/>
      <c r="D54" s="10"/>
      <c r="E54" s="3"/>
      <c r="F54" s="504"/>
      <c r="G54" s="4"/>
      <c r="H54" s="490"/>
      <c r="I54" s="490"/>
      <c r="J54" s="505"/>
      <c r="K54" s="3"/>
      <c r="L54" s="4"/>
      <c r="M54" s="490"/>
      <c r="N54" s="490"/>
      <c r="O54" s="490"/>
      <c r="P54" s="490"/>
      <c r="Q54" s="490"/>
      <c r="R54" s="490"/>
      <c r="S54" s="491"/>
    </row>
    <row r="55" spans="1:20" s="507" customFormat="1" ht="16.5" hidden="1" customHeight="1" thickBot="1">
      <c r="A55" s="492"/>
      <c r="B55" s="639"/>
      <c r="C55" s="640"/>
      <c r="D55" s="640"/>
      <c r="E55" s="640"/>
      <c r="F55" s="640"/>
      <c r="G55" s="641"/>
      <c r="H55" s="640"/>
      <c r="I55" s="640"/>
      <c r="J55" s="656" t="s">
        <v>43</v>
      </c>
      <c r="K55" s="640"/>
      <c r="L55" s="640"/>
      <c r="M55" s="641"/>
      <c r="N55" s="641"/>
      <c r="O55" s="641"/>
      <c r="P55" s="641"/>
      <c r="Q55" s="641"/>
      <c r="R55" s="642"/>
      <c r="S55" s="506"/>
    </row>
    <row r="56" spans="1:20" ht="13.5" hidden="1" customHeight="1">
      <c r="A56" s="490"/>
      <c r="B56" s="6"/>
      <c r="C56" s="6"/>
      <c r="D56" s="6"/>
      <c r="E56" s="6"/>
      <c r="F56" s="6"/>
      <c r="G56" s="6"/>
      <c r="H56" s="6"/>
      <c r="I56" s="6"/>
      <c r="J56" s="669" t="s">
        <v>81</v>
      </c>
      <c r="K56" s="508"/>
      <c r="L56" s="669" t="s">
        <v>82</v>
      </c>
      <c r="M56" s="490"/>
      <c r="N56" s="490"/>
      <c r="O56" s="490"/>
      <c r="P56" s="490"/>
      <c r="Q56" s="490"/>
      <c r="R56" s="490"/>
      <c r="S56" s="491"/>
    </row>
    <row r="57" spans="1:20" ht="16.5" hidden="1" customHeight="1" thickBot="1">
      <c r="A57" s="490"/>
      <c r="B57" s="100" t="s">
        <v>231</v>
      </c>
      <c r="C57" s="672"/>
      <c r="D57" s="672"/>
      <c r="E57" s="672"/>
      <c r="F57" s="672"/>
      <c r="G57" s="672"/>
      <c r="H57" s="672"/>
      <c r="I57" s="6"/>
      <c r="J57" s="654">
        <f>R36*3%</f>
        <v>0</v>
      </c>
      <c r="K57" s="6"/>
      <c r="L57" s="670">
        <f>J57/12</f>
        <v>0</v>
      </c>
      <c r="M57" s="490"/>
      <c r="N57" s="490"/>
      <c r="O57" s="490"/>
      <c r="P57" s="490"/>
      <c r="Q57" s="490"/>
      <c r="R57" s="490"/>
      <c r="S57" s="491"/>
    </row>
    <row r="58" spans="1:20" ht="3.75" hidden="1" customHeight="1">
      <c r="A58" s="490"/>
      <c r="B58" s="672"/>
      <c r="C58" s="672"/>
      <c r="D58" s="672"/>
      <c r="E58" s="672"/>
      <c r="F58" s="672"/>
      <c r="G58" s="672"/>
      <c r="H58" s="672"/>
      <c r="I58" s="6"/>
      <c r="J58" s="6"/>
      <c r="K58" s="6"/>
      <c r="L58" s="671"/>
      <c r="M58" s="490"/>
      <c r="N58" s="490"/>
      <c r="O58" s="490"/>
      <c r="P58" s="490"/>
      <c r="Q58" s="490"/>
      <c r="R58" s="490"/>
      <c r="S58" s="491"/>
    </row>
    <row r="59" spans="1:20" ht="16.5" hidden="1" customHeight="1" thickBot="1">
      <c r="A59" s="490"/>
      <c r="B59" s="101" t="s">
        <v>77</v>
      </c>
      <c r="C59" s="672"/>
      <c r="D59" s="672"/>
      <c r="E59" s="672"/>
      <c r="F59" s="672"/>
      <c r="G59" s="672"/>
      <c r="H59" s="672"/>
      <c r="I59" s="6"/>
      <c r="J59" s="654"/>
      <c r="K59" s="6"/>
      <c r="L59" s="670">
        <f>J59/12</f>
        <v>0</v>
      </c>
      <c r="M59" s="490"/>
      <c r="N59" s="490"/>
      <c r="O59" s="490"/>
      <c r="P59" s="560" t="s">
        <v>178</v>
      </c>
      <c r="Q59" s="490"/>
      <c r="R59" s="675">
        <f>L57+L59</f>
        <v>0</v>
      </c>
      <c r="S59" s="491"/>
    </row>
    <row r="60" spans="1:20" hidden="1">
      <c r="A60" s="490"/>
      <c r="B60" s="4"/>
      <c r="C60" s="4"/>
      <c r="D60" s="10"/>
      <c r="E60" s="3"/>
      <c r="F60" s="4"/>
      <c r="G60" s="4"/>
      <c r="H60" s="492"/>
      <c r="I60" s="492"/>
      <c r="J60" s="505"/>
      <c r="K60" s="3"/>
      <c r="L60" s="4"/>
      <c r="M60" s="490"/>
      <c r="N60" s="490"/>
      <c r="O60" s="490"/>
      <c r="P60" s="490"/>
      <c r="Q60" s="490"/>
      <c r="R60" s="490"/>
      <c r="S60" s="491"/>
    </row>
    <row r="61" spans="1:20" ht="21.75" hidden="1" customHeight="1" thickBot="1">
      <c r="A61" s="490"/>
      <c r="B61" s="490"/>
      <c r="C61" s="490"/>
      <c r="D61" s="490"/>
      <c r="E61" s="3"/>
      <c r="F61" s="4"/>
      <c r="G61" s="4"/>
      <c r="H61" s="492"/>
      <c r="I61" s="492"/>
      <c r="J61" s="490"/>
      <c r="K61" s="509"/>
      <c r="L61" s="490"/>
      <c r="M61" s="490"/>
      <c r="N61" s="490"/>
      <c r="O61" s="492"/>
      <c r="P61" s="673" t="s">
        <v>44</v>
      </c>
      <c r="Q61" s="643"/>
      <c r="R61" s="674">
        <f>IF(J36&gt;0,R53+R59,0)</f>
        <v>0</v>
      </c>
      <c r="S61" s="491"/>
    </row>
    <row r="62" spans="1:20" hidden="1">
      <c r="B62" s="510"/>
      <c r="C62" s="510"/>
      <c r="D62" s="510"/>
      <c r="E62" s="510"/>
      <c r="F62" s="510"/>
      <c r="G62" s="510"/>
      <c r="H62" s="510"/>
      <c r="I62" s="510"/>
      <c r="J62" s="510"/>
      <c r="K62" s="510"/>
      <c r="L62" s="510"/>
    </row>
    <row r="63" spans="1:20" hidden="1">
      <c r="B63" s="510"/>
      <c r="C63" s="510"/>
      <c r="D63" s="510"/>
      <c r="E63" s="510"/>
      <c r="F63" s="510"/>
      <c r="G63" s="510"/>
      <c r="H63" s="510"/>
      <c r="I63" s="510"/>
      <c r="J63" s="510"/>
      <c r="K63" s="510"/>
      <c r="L63" s="510"/>
    </row>
    <row r="64" spans="1:20" ht="21" hidden="1" customHeight="1" thickBot="1">
      <c r="A64" s="490"/>
      <c r="B64" s="1073" t="s">
        <v>408</v>
      </c>
      <c r="C64" s="1074"/>
      <c r="D64" s="1074"/>
      <c r="E64" s="1074"/>
      <c r="F64" s="1074"/>
      <c r="G64" s="1074"/>
      <c r="H64" s="1074"/>
      <c r="I64" s="1074"/>
      <c r="J64" s="1074"/>
      <c r="K64" s="1074"/>
      <c r="L64" s="1074"/>
      <c r="M64" s="1074"/>
      <c r="N64" s="1074"/>
      <c r="O64" s="1074"/>
      <c r="P64" s="1074"/>
      <c r="Q64" s="1074"/>
      <c r="R64" s="1075"/>
      <c r="S64" s="491"/>
    </row>
    <row r="65" spans="1:19" ht="9" hidden="1" customHeight="1">
      <c r="A65" s="490"/>
      <c r="B65" s="6"/>
      <c r="C65" s="6"/>
      <c r="D65" s="6"/>
      <c r="E65" s="6"/>
      <c r="F65" s="6"/>
      <c r="G65" s="6"/>
      <c r="H65" s="6"/>
      <c r="I65" s="6"/>
      <c r="J65" s="6"/>
      <c r="K65" s="6"/>
      <c r="L65" s="490"/>
      <c r="M65" s="490"/>
      <c r="N65" s="490"/>
      <c r="O65" s="490"/>
      <c r="P65" s="490"/>
      <c r="Q65" s="490"/>
      <c r="R65" s="490"/>
      <c r="S65" s="491"/>
    </row>
    <row r="66" spans="1:19" ht="15.75" hidden="1" customHeight="1" thickBot="1">
      <c r="A66" s="490"/>
      <c r="B66" s="676" t="s">
        <v>16</v>
      </c>
      <c r="C66" s="66"/>
      <c r="D66" s="677"/>
      <c r="E66" s="77"/>
      <c r="F66" s="678"/>
      <c r="G66" s="679"/>
      <c r="H66" s="73"/>
      <c r="I66" s="490"/>
      <c r="J66" s="655"/>
      <c r="K66" s="698" t="s">
        <v>20</v>
      </c>
      <c r="L66" s="491"/>
      <c r="N66" s="679"/>
      <c r="O66" s="490"/>
      <c r="P66" s="699" t="s">
        <v>229</v>
      </c>
      <c r="Q66" s="490"/>
      <c r="R66" s="654"/>
      <c r="S66" s="491"/>
    </row>
    <row r="67" spans="1:19" ht="9" hidden="1" customHeight="1">
      <c r="A67" s="490"/>
      <c r="B67" s="3"/>
      <c r="C67" s="3"/>
      <c r="D67" s="8"/>
      <c r="E67" s="18"/>
      <c r="F67" s="492"/>
      <c r="G67" s="3"/>
      <c r="H67" s="492"/>
      <c r="I67" s="492"/>
      <c r="J67" s="493"/>
      <c r="K67" s="490"/>
      <c r="L67" s="494"/>
      <c r="M67" s="490"/>
      <c r="N67" s="490"/>
      <c r="O67" s="490"/>
      <c r="P67" s="490"/>
      <c r="Q67" s="490"/>
      <c r="R67" s="490"/>
      <c r="S67" s="491"/>
    </row>
    <row r="68" spans="1:19" ht="16.5" hidden="1" customHeight="1" thickBot="1">
      <c r="A68" s="490"/>
      <c r="B68" s="657"/>
      <c r="C68" s="656"/>
      <c r="D68" s="656"/>
      <c r="E68" s="656"/>
      <c r="F68" s="656"/>
      <c r="G68" s="538"/>
      <c r="H68" s="656"/>
      <c r="I68" s="656"/>
      <c r="J68" s="656" t="s">
        <v>19</v>
      </c>
      <c r="K68" s="656"/>
      <c r="L68" s="656"/>
      <c r="M68" s="538"/>
      <c r="N68" s="538"/>
      <c r="O68" s="538"/>
      <c r="P68" s="538"/>
      <c r="Q68" s="538"/>
      <c r="R68" s="539"/>
      <c r="S68" s="491"/>
    </row>
    <row r="69" spans="1:19" ht="6.75" hidden="1" customHeight="1">
      <c r="A69" s="490"/>
      <c r="B69" s="3"/>
      <c r="C69" s="3"/>
      <c r="D69" s="3"/>
      <c r="E69" s="3"/>
      <c r="F69" s="4"/>
      <c r="G69" s="4"/>
      <c r="H69" s="4"/>
      <c r="I69" s="4"/>
      <c r="J69" s="4"/>
      <c r="K69" s="3"/>
      <c r="L69" s="490"/>
      <c r="M69" s="490"/>
      <c r="N69" s="490"/>
      <c r="O69" s="490"/>
      <c r="P69" s="490"/>
      <c r="Q69" s="490"/>
      <c r="R69" s="490"/>
      <c r="S69" s="491"/>
    </row>
    <row r="70" spans="1:19" ht="25.5" hidden="1" customHeight="1" thickBot="1">
      <c r="A70" s="490"/>
      <c r="B70" s="658" t="s">
        <v>100</v>
      </c>
      <c r="C70" s="659"/>
      <c r="D70" s="656" t="s">
        <v>65</v>
      </c>
      <c r="E70" s="659"/>
      <c r="F70" s="660" t="s">
        <v>66</v>
      </c>
      <c r="G70" s="660"/>
      <c r="H70" s="659" t="s">
        <v>67</v>
      </c>
      <c r="I70" s="581"/>
      <c r="J70" s="656" t="s">
        <v>64</v>
      </c>
      <c r="K70" s="581"/>
      <c r="L70" s="656" t="s">
        <v>18</v>
      </c>
      <c r="M70" s="538"/>
      <c r="N70" s="656" t="s">
        <v>17</v>
      </c>
      <c r="O70" s="538"/>
      <c r="P70" s="661" t="s">
        <v>85</v>
      </c>
      <c r="Q70" s="538"/>
      <c r="R70" s="662" t="s">
        <v>109</v>
      </c>
      <c r="S70" s="491"/>
    </row>
    <row r="71" spans="1:19" hidden="1">
      <c r="A71" s="490"/>
      <c r="B71" s="43"/>
      <c r="C71" s="43"/>
      <c r="D71" s="6"/>
      <c r="E71" s="43"/>
      <c r="F71" s="6"/>
      <c r="G71" s="6"/>
      <c r="H71" s="43"/>
      <c r="I71" s="3"/>
      <c r="J71" s="6"/>
      <c r="K71" s="3"/>
      <c r="L71" s="4"/>
      <c r="M71" s="490"/>
      <c r="N71" s="490"/>
      <c r="O71" s="490"/>
      <c r="P71" s="490"/>
      <c r="Q71" s="490"/>
      <c r="R71" s="490"/>
      <c r="S71" s="491"/>
    </row>
    <row r="72" spans="1:19" s="497" customFormat="1" ht="14.25" hidden="1" customHeight="1">
      <c r="A72" s="495"/>
      <c r="B72" s="77" t="s">
        <v>75</v>
      </c>
      <c r="C72" s="43"/>
      <c r="D72" s="644">
        <v>4</v>
      </c>
      <c r="E72" s="18"/>
      <c r="F72" s="646" t="s">
        <v>29</v>
      </c>
      <c r="G72" s="43"/>
      <c r="H72" s="650"/>
      <c r="I72" s="3"/>
      <c r="J72" s="653"/>
      <c r="K72" s="3"/>
      <c r="L72" s="663">
        <f>IF(H72&gt;0,(J72*D72)/H72,0)</f>
        <v>0</v>
      </c>
      <c r="M72" s="495"/>
      <c r="N72" s="665">
        <f>L72*J66</f>
        <v>0</v>
      </c>
      <c r="O72" s="495"/>
      <c r="P72" s="665">
        <f>IF(Consolidado_Geral!$G$133=7.6%,-(0.0165+0.076)*N72,0)</f>
        <v>0</v>
      </c>
      <c r="Q72" s="495"/>
      <c r="R72" s="665">
        <f t="shared" ref="R72:R81" si="4">N72+P72</f>
        <v>0</v>
      </c>
      <c r="S72" s="496"/>
    </row>
    <row r="73" spans="1:19" s="497" customFormat="1" ht="14.25" hidden="1" customHeight="1">
      <c r="A73" s="495"/>
      <c r="B73" s="77" t="s">
        <v>74</v>
      </c>
      <c r="C73" s="18"/>
      <c r="D73" s="644">
        <v>1</v>
      </c>
      <c r="E73" s="18"/>
      <c r="F73" s="646" t="s">
        <v>63</v>
      </c>
      <c r="G73" s="43"/>
      <c r="H73" s="651"/>
      <c r="I73" s="3"/>
      <c r="J73" s="653"/>
      <c r="K73" s="3"/>
      <c r="L73" s="663">
        <f>IF(H73&gt;0,(J73/H73),0)</f>
        <v>0</v>
      </c>
      <c r="M73" s="495"/>
      <c r="N73" s="665">
        <f>L73*J66</f>
        <v>0</v>
      </c>
      <c r="O73" s="495"/>
      <c r="P73" s="665">
        <f>IF(Consolidado_Geral!$G$133=7.6%,-(0.0165+0.076)*N73,0)</f>
        <v>0</v>
      </c>
      <c r="Q73" s="495"/>
      <c r="R73" s="665">
        <f t="shared" si="4"/>
        <v>0</v>
      </c>
      <c r="S73" s="496"/>
    </row>
    <row r="74" spans="1:19" s="497" customFormat="1" ht="14.25" hidden="1" customHeight="1">
      <c r="A74" s="495"/>
      <c r="B74" s="77" t="s">
        <v>68</v>
      </c>
      <c r="C74" s="18"/>
      <c r="D74" s="644"/>
      <c r="E74" s="18"/>
      <c r="F74" s="647" t="s">
        <v>63</v>
      </c>
      <c r="G74" s="498"/>
      <c r="H74" s="650"/>
      <c r="I74" s="3"/>
      <c r="J74" s="653"/>
      <c r="K74" s="3"/>
      <c r="L74" s="663">
        <f t="shared" ref="L74:L80" si="5">IF(H74&gt;0,(J74*D74)/H74,0)</f>
        <v>0</v>
      </c>
      <c r="M74" s="495"/>
      <c r="N74" s="665">
        <f>L74*J66</f>
        <v>0</v>
      </c>
      <c r="O74" s="495"/>
      <c r="P74" s="665">
        <f>IF(Consolidado_Geral!$G$133=7.6%,-(0.0165+0.076)*N74,0)</f>
        <v>0</v>
      </c>
      <c r="Q74" s="495"/>
      <c r="R74" s="665">
        <f t="shared" si="4"/>
        <v>0</v>
      </c>
      <c r="S74" s="496"/>
    </row>
    <row r="75" spans="1:19" s="497" customFormat="1" ht="14.25" hidden="1" customHeight="1">
      <c r="A75" s="495"/>
      <c r="B75" s="77" t="s">
        <v>69</v>
      </c>
      <c r="C75" s="18"/>
      <c r="D75" s="644">
        <v>1</v>
      </c>
      <c r="E75" s="18"/>
      <c r="F75" s="647" t="s">
        <v>63</v>
      </c>
      <c r="G75" s="498"/>
      <c r="H75" s="650"/>
      <c r="I75" s="3"/>
      <c r="J75" s="653"/>
      <c r="K75" s="3"/>
      <c r="L75" s="663">
        <f t="shared" si="5"/>
        <v>0</v>
      </c>
      <c r="M75" s="495"/>
      <c r="N75" s="665">
        <f>L75*J66</f>
        <v>0</v>
      </c>
      <c r="O75" s="495"/>
      <c r="P75" s="665">
        <f>IF(Consolidado_Geral!$G$133=7.6%,-(0.0165+0.076)*N75,0)</f>
        <v>0</v>
      </c>
      <c r="Q75" s="495"/>
      <c r="R75" s="665">
        <f t="shared" si="4"/>
        <v>0</v>
      </c>
      <c r="S75" s="496"/>
    </row>
    <row r="76" spans="1:19" s="497" customFormat="1" ht="14.25" hidden="1" customHeight="1">
      <c r="A76" s="495"/>
      <c r="B76" s="77" t="s">
        <v>70</v>
      </c>
      <c r="C76" s="18"/>
      <c r="D76" s="644">
        <v>1</v>
      </c>
      <c r="E76" s="18"/>
      <c r="F76" s="647" t="s">
        <v>63</v>
      </c>
      <c r="G76" s="498"/>
      <c r="H76" s="650"/>
      <c r="I76" s="3"/>
      <c r="J76" s="653"/>
      <c r="K76" s="3"/>
      <c r="L76" s="663">
        <f t="shared" si="5"/>
        <v>0</v>
      </c>
      <c r="M76" s="495"/>
      <c r="N76" s="665">
        <f>L76*J66</f>
        <v>0</v>
      </c>
      <c r="O76" s="495"/>
      <c r="P76" s="665">
        <f>IF(Consolidado_Geral!$G$133=7.6%,-(0.0165+0.076)*N76,0)</f>
        <v>0</v>
      </c>
      <c r="Q76" s="495"/>
      <c r="R76" s="665">
        <f t="shared" si="4"/>
        <v>0</v>
      </c>
      <c r="S76" s="496"/>
    </row>
    <row r="77" spans="1:19" s="497" customFormat="1" ht="14.25" hidden="1" customHeight="1">
      <c r="A77" s="495"/>
      <c r="B77" s="77" t="s">
        <v>71</v>
      </c>
      <c r="C77" s="18"/>
      <c r="D77" s="644">
        <v>1</v>
      </c>
      <c r="E77" s="18"/>
      <c r="F77" s="647" t="s">
        <v>63</v>
      </c>
      <c r="G77" s="498"/>
      <c r="H77" s="650"/>
      <c r="I77" s="3"/>
      <c r="J77" s="653"/>
      <c r="K77" s="3"/>
      <c r="L77" s="663">
        <f t="shared" si="5"/>
        <v>0</v>
      </c>
      <c r="M77" s="495"/>
      <c r="N77" s="665">
        <f>L77*J66</f>
        <v>0</v>
      </c>
      <c r="O77" s="495"/>
      <c r="P77" s="665">
        <f>IF(Consolidado_Geral!$G$133=7.6%,-(0.0165+0.076)*N77,0)</f>
        <v>0</v>
      </c>
      <c r="Q77" s="495"/>
      <c r="R77" s="665">
        <f t="shared" si="4"/>
        <v>0</v>
      </c>
      <c r="S77" s="496"/>
    </row>
    <row r="78" spans="1:19" s="497" customFormat="1" ht="14.25" hidden="1" customHeight="1">
      <c r="A78" s="495"/>
      <c r="B78" s="680" t="s">
        <v>72</v>
      </c>
      <c r="C78" s="499"/>
      <c r="D78" s="644">
        <v>1</v>
      </c>
      <c r="E78" s="499"/>
      <c r="F78" s="648" t="s">
        <v>63</v>
      </c>
      <c r="G78" s="500"/>
      <c r="H78" s="650"/>
      <c r="I78" s="3"/>
      <c r="J78" s="653"/>
      <c r="K78" s="3"/>
      <c r="L78" s="663">
        <f t="shared" si="5"/>
        <v>0</v>
      </c>
      <c r="M78" s="495"/>
      <c r="N78" s="665">
        <f>L78*J66</f>
        <v>0</v>
      </c>
      <c r="O78" s="495"/>
      <c r="P78" s="665">
        <f>IF(Consolidado_Geral!$G$133=7.6%,-(0.0165+0.076)*N78,0)</f>
        <v>0</v>
      </c>
      <c r="Q78" s="495"/>
      <c r="R78" s="665">
        <f t="shared" si="4"/>
        <v>0</v>
      </c>
      <c r="S78" s="496"/>
    </row>
    <row r="79" spans="1:19" s="497" customFormat="1" ht="14.25" hidden="1" customHeight="1">
      <c r="A79" s="495"/>
      <c r="B79" s="77" t="s">
        <v>73</v>
      </c>
      <c r="C79" s="18"/>
      <c r="D79" s="644">
        <v>1</v>
      </c>
      <c r="E79" s="18"/>
      <c r="F79" s="648" t="s">
        <v>29</v>
      </c>
      <c r="G79" s="500"/>
      <c r="H79" s="650"/>
      <c r="I79" s="3"/>
      <c r="J79" s="653"/>
      <c r="K79" s="3"/>
      <c r="L79" s="663">
        <f t="shared" si="5"/>
        <v>0</v>
      </c>
      <c r="M79" s="495"/>
      <c r="N79" s="665">
        <f>L79*J66</f>
        <v>0</v>
      </c>
      <c r="O79" s="495"/>
      <c r="P79" s="665">
        <f>IF(Consolidado_Geral!$G$133=7.6%,-(0.0165+0.076)*N79,0)</f>
        <v>0</v>
      </c>
      <c r="Q79" s="495"/>
      <c r="R79" s="665">
        <f t="shared" si="4"/>
        <v>0</v>
      </c>
      <c r="S79" s="496"/>
    </row>
    <row r="80" spans="1:19" s="497" customFormat="1" ht="14.25" hidden="1" customHeight="1" thickBot="1">
      <c r="A80" s="495"/>
      <c r="B80" s="66" t="s">
        <v>76</v>
      </c>
      <c r="C80" s="3"/>
      <c r="D80" s="645"/>
      <c r="E80" s="3"/>
      <c r="F80" s="649" t="s">
        <v>29</v>
      </c>
      <c r="G80" s="3"/>
      <c r="H80" s="650"/>
      <c r="I80" s="3"/>
      <c r="J80" s="653"/>
      <c r="K80" s="3"/>
      <c r="L80" s="663">
        <f t="shared" si="5"/>
        <v>0</v>
      </c>
      <c r="M80" s="495"/>
      <c r="N80" s="665">
        <f>L80*J66</f>
        <v>0</v>
      </c>
      <c r="O80" s="495"/>
      <c r="P80" s="665">
        <f>IF(Consolidado_Geral!$G$133=7.6%,-(0.0165+0.076)*N80,0)</f>
        <v>0</v>
      </c>
      <c r="Q80" s="495"/>
      <c r="R80" s="665">
        <f t="shared" si="4"/>
        <v>0</v>
      </c>
      <c r="S80" s="496"/>
    </row>
    <row r="81" spans="1:20" ht="14.25" hidden="1" customHeight="1" thickBot="1">
      <c r="A81" s="490"/>
      <c r="B81" s="681" t="s">
        <v>230</v>
      </c>
      <c r="C81" s="3"/>
      <c r="D81" s="497"/>
      <c r="E81" s="3"/>
      <c r="F81" s="500"/>
      <c r="G81" s="3"/>
      <c r="H81" s="652"/>
      <c r="I81" s="3"/>
      <c r="J81" s="553">
        <v>0.01</v>
      </c>
      <c r="K81" s="3"/>
      <c r="L81" s="664">
        <f>IF(H81&gt;0,J81*(R66-(D73*J73))/H81,0)</f>
        <v>0</v>
      </c>
      <c r="M81" s="490"/>
      <c r="N81" s="666">
        <f>L81*J66</f>
        <v>0</v>
      </c>
      <c r="O81" s="490"/>
      <c r="P81" s="666">
        <f>IF(Consolidado_Geral!$G$133=7.6%,-(0.0165+0.076)*N81,0)</f>
        <v>0</v>
      </c>
      <c r="Q81" s="490"/>
      <c r="R81" s="666">
        <f t="shared" si="4"/>
        <v>0</v>
      </c>
      <c r="S81" s="491"/>
    </row>
    <row r="82" spans="1:20" ht="4.5" hidden="1" customHeight="1">
      <c r="A82" s="490"/>
      <c r="B82" s="490"/>
      <c r="C82" s="490"/>
      <c r="D82" s="490"/>
      <c r="E82" s="3"/>
      <c r="F82" s="4"/>
      <c r="G82" s="4"/>
      <c r="H82" s="4"/>
      <c r="I82" s="4"/>
      <c r="J82" s="4"/>
      <c r="K82" s="3"/>
      <c r="L82" s="4"/>
      <c r="M82" s="490"/>
      <c r="N82" s="490"/>
      <c r="O82" s="490"/>
      <c r="P82" s="490"/>
      <c r="Q82" s="490"/>
      <c r="R82" s="490"/>
      <c r="S82" s="491"/>
    </row>
    <row r="83" spans="1:20" s="497" customFormat="1" ht="16.5" hidden="1" customHeight="1" thickBot="1">
      <c r="A83" s="495"/>
      <c r="B83" s="3"/>
      <c r="C83" s="3"/>
      <c r="D83" s="44"/>
      <c r="E83" s="3"/>
      <c r="F83" s="3"/>
      <c r="G83" s="3"/>
      <c r="H83" s="501"/>
      <c r="I83" s="36"/>
      <c r="J83" s="682" t="s">
        <v>109</v>
      </c>
      <c r="K83" s="502"/>
      <c r="L83" s="667">
        <f>SUM(L72:L80)</f>
        <v>0</v>
      </c>
      <c r="M83" s="495"/>
      <c r="N83" s="668">
        <f>SUM(N72:N80)</f>
        <v>0</v>
      </c>
      <c r="O83" s="495"/>
      <c r="P83" s="668">
        <f>SUM(P72:P80)</f>
        <v>0</v>
      </c>
      <c r="Q83" s="495"/>
      <c r="R83" s="668">
        <f>SUM(R72:R81)</f>
        <v>0</v>
      </c>
      <c r="S83" s="496"/>
      <c r="T83" s="503"/>
    </row>
    <row r="84" spans="1:20" ht="8.25" hidden="1" customHeight="1">
      <c r="A84" s="490"/>
      <c r="B84" s="4"/>
      <c r="C84" s="4"/>
      <c r="D84" s="10"/>
      <c r="E84" s="3"/>
      <c r="F84" s="504"/>
      <c r="G84" s="4"/>
      <c r="H84" s="490"/>
      <c r="I84" s="490"/>
      <c r="J84" s="505"/>
      <c r="K84" s="3"/>
      <c r="L84" s="4"/>
      <c r="M84" s="490"/>
      <c r="N84" s="490"/>
      <c r="O84" s="490"/>
      <c r="P84" s="490"/>
      <c r="Q84" s="490"/>
      <c r="R84" s="490"/>
      <c r="S84" s="491"/>
    </row>
    <row r="85" spans="1:20" s="507" customFormat="1" ht="16.5" hidden="1" customHeight="1" thickBot="1">
      <c r="A85" s="492"/>
      <c r="B85" s="639"/>
      <c r="C85" s="640"/>
      <c r="D85" s="640"/>
      <c r="E85" s="640"/>
      <c r="F85" s="640"/>
      <c r="G85" s="641"/>
      <c r="H85" s="640"/>
      <c r="I85" s="640"/>
      <c r="J85" s="656" t="s">
        <v>43</v>
      </c>
      <c r="K85" s="640"/>
      <c r="L85" s="640"/>
      <c r="M85" s="641"/>
      <c r="N85" s="641"/>
      <c r="O85" s="641"/>
      <c r="P85" s="641"/>
      <c r="Q85" s="641"/>
      <c r="R85" s="642"/>
      <c r="S85" s="506"/>
    </row>
    <row r="86" spans="1:20" ht="13.5" hidden="1" customHeight="1">
      <c r="A86" s="490"/>
      <c r="B86" s="6"/>
      <c r="C86" s="6"/>
      <c r="D86" s="6"/>
      <c r="E86" s="6"/>
      <c r="F86" s="6"/>
      <c r="G86" s="6"/>
      <c r="H86" s="6"/>
      <c r="I86" s="6"/>
      <c r="J86" s="669" t="s">
        <v>81</v>
      </c>
      <c r="K86" s="508"/>
      <c r="L86" s="669" t="s">
        <v>82</v>
      </c>
      <c r="M86" s="490"/>
      <c r="N86" s="490"/>
      <c r="O86" s="490"/>
      <c r="P86" s="490"/>
      <c r="Q86" s="490"/>
      <c r="R86" s="490"/>
      <c r="S86" s="491"/>
    </row>
    <row r="87" spans="1:20" ht="16.5" hidden="1" customHeight="1" thickBot="1">
      <c r="A87" s="490"/>
      <c r="B87" s="100" t="s">
        <v>231</v>
      </c>
      <c r="C87" s="672"/>
      <c r="D87" s="672"/>
      <c r="E87" s="672"/>
      <c r="F87" s="672"/>
      <c r="G87" s="672"/>
      <c r="H87" s="672"/>
      <c r="I87" s="6"/>
      <c r="J87" s="654">
        <f>R66*3%</f>
        <v>0</v>
      </c>
      <c r="K87" s="6"/>
      <c r="L87" s="670">
        <f>J87/12</f>
        <v>0</v>
      </c>
      <c r="M87" s="490"/>
      <c r="N87" s="490"/>
      <c r="O87" s="490"/>
      <c r="P87" s="490"/>
      <c r="Q87" s="490"/>
      <c r="R87" s="490"/>
      <c r="S87" s="491"/>
    </row>
    <row r="88" spans="1:20" ht="3.75" hidden="1" customHeight="1">
      <c r="A88" s="490"/>
      <c r="B88" s="672"/>
      <c r="C88" s="672"/>
      <c r="D88" s="672"/>
      <c r="E88" s="672"/>
      <c r="F88" s="672"/>
      <c r="G88" s="672"/>
      <c r="H88" s="672"/>
      <c r="I88" s="6"/>
      <c r="J88" s="6"/>
      <c r="K88" s="6"/>
      <c r="L88" s="671"/>
      <c r="M88" s="490"/>
      <c r="N88" s="490"/>
      <c r="O88" s="490"/>
      <c r="P88" s="490"/>
      <c r="Q88" s="490"/>
      <c r="R88" s="490"/>
      <c r="S88" s="491"/>
    </row>
    <row r="89" spans="1:20" ht="16.5" hidden="1" customHeight="1" thickBot="1">
      <c r="A89" s="490"/>
      <c r="B89" s="101" t="s">
        <v>77</v>
      </c>
      <c r="C89" s="672"/>
      <c r="D89" s="672"/>
      <c r="E89" s="672"/>
      <c r="F89" s="672"/>
      <c r="G89" s="672"/>
      <c r="H89" s="672"/>
      <c r="I89" s="6"/>
      <c r="J89" s="654"/>
      <c r="K89" s="6"/>
      <c r="L89" s="670">
        <f>J89/12</f>
        <v>0</v>
      </c>
      <c r="M89" s="490"/>
      <c r="N89" s="490"/>
      <c r="O89" s="490"/>
      <c r="P89" s="560" t="s">
        <v>178</v>
      </c>
      <c r="Q89" s="490"/>
      <c r="R89" s="675">
        <f>L87+L89</f>
        <v>0</v>
      </c>
      <c r="S89" s="491"/>
    </row>
    <row r="90" spans="1:20" hidden="1">
      <c r="A90" s="490"/>
      <c r="B90" s="4"/>
      <c r="C90" s="4"/>
      <c r="D90" s="10"/>
      <c r="E90" s="3"/>
      <c r="F90" s="4"/>
      <c r="G90" s="4"/>
      <c r="H90" s="492"/>
      <c r="I90" s="492"/>
      <c r="J90" s="505"/>
      <c r="K90" s="3"/>
      <c r="L90" s="4"/>
      <c r="M90" s="490"/>
      <c r="N90" s="490"/>
      <c r="O90" s="490"/>
      <c r="P90" s="490"/>
      <c r="Q90" s="490"/>
      <c r="R90" s="490"/>
      <c r="S90" s="491"/>
    </row>
    <row r="91" spans="1:20" ht="21.75" hidden="1" customHeight="1" thickBot="1">
      <c r="A91" s="490"/>
      <c r="B91" s="490"/>
      <c r="C91" s="490"/>
      <c r="D91" s="490"/>
      <c r="E91" s="3"/>
      <c r="F91" s="4"/>
      <c r="G91" s="4"/>
      <c r="H91" s="492"/>
      <c r="I91" s="492"/>
      <c r="J91" s="490"/>
      <c r="K91" s="509"/>
      <c r="L91" s="490"/>
      <c r="M91" s="490"/>
      <c r="N91" s="490"/>
      <c r="O91" s="492"/>
      <c r="P91" s="673" t="s">
        <v>44</v>
      </c>
      <c r="Q91" s="643"/>
      <c r="R91" s="674">
        <f>IF(J66&gt;0,R83+R89,0)</f>
        <v>0</v>
      </c>
      <c r="S91" s="491"/>
    </row>
    <row r="92" spans="1:20" hidden="1">
      <c r="B92" s="510"/>
      <c r="C92" s="510"/>
      <c r="D92" s="510"/>
      <c r="E92" s="510"/>
      <c r="F92" s="510"/>
      <c r="G92" s="510"/>
      <c r="H92" s="510"/>
      <c r="I92" s="510"/>
      <c r="J92" s="510"/>
      <c r="K92" s="510"/>
      <c r="L92" s="510"/>
    </row>
    <row r="93" spans="1:20" hidden="1">
      <c r="B93" s="510"/>
      <c r="C93" s="510"/>
      <c r="D93" s="510"/>
      <c r="E93" s="510"/>
      <c r="F93" s="510"/>
      <c r="G93" s="510"/>
      <c r="H93" s="510"/>
      <c r="I93" s="510"/>
      <c r="J93" s="510"/>
      <c r="K93" s="510"/>
      <c r="L93" s="510"/>
    </row>
    <row r="94" spans="1:20" ht="21" hidden="1" customHeight="1" thickBot="1">
      <c r="A94" s="490"/>
      <c r="B94" s="1073" t="s">
        <v>408</v>
      </c>
      <c r="C94" s="1074"/>
      <c r="D94" s="1074"/>
      <c r="E94" s="1074"/>
      <c r="F94" s="1074"/>
      <c r="G94" s="1074"/>
      <c r="H94" s="1074"/>
      <c r="I94" s="1074"/>
      <c r="J94" s="1074"/>
      <c r="K94" s="1074"/>
      <c r="L94" s="1074"/>
      <c r="M94" s="1074"/>
      <c r="N94" s="1074"/>
      <c r="O94" s="1074"/>
      <c r="P94" s="1074"/>
      <c r="Q94" s="1074"/>
      <c r="R94" s="1075"/>
      <c r="S94" s="491"/>
    </row>
    <row r="95" spans="1:20" ht="9" hidden="1" customHeight="1">
      <c r="A95" s="490"/>
      <c r="B95" s="6"/>
      <c r="C95" s="6"/>
      <c r="D95" s="6"/>
      <c r="E95" s="6"/>
      <c r="F95" s="6"/>
      <c r="G95" s="6"/>
      <c r="H95" s="6"/>
      <c r="I95" s="6"/>
      <c r="J95" s="6"/>
      <c r="K95" s="6"/>
      <c r="L95" s="490"/>
      <c r="M95" s="490"/>
      <c r="N95" s="490"/>
      <c r="O95" s="490"/>
      <c r="P95" s="490"/>
      <c r="Q95" s="490"/>
      <c r="R95" s="490"/>
      <c r="S95" s="491"/>
    </row>
    <row r="96" spans="1:20" ht="15.75" hidden="1" customHeight="1" thickBot="1">
      <c r="A96" s="490"/>
      <c r="B96" s="676" t="s">
        <v>16</v>
      </c>
      <c r="C96" s="66"/>
      <c r="D96" s="677"/>
      <c r="E96" s="77"/>
      <c r="F96" s="678"/>
      <c r="G96" s="679"/>
      <c r="H96" s="73"/>
      <c r="I96" s="490"/>
      <c r="J96" s="655"/>
      <c r="K96" s="698" t="s">
        <v>20</v>
      </c>
      <c r="L96" s="491"/>
      <c r="N96" s="679"/>
      <c r="O96" s="490"/>
      <c r="P96" s="699" t="s">
        <v>229</v>
      </c>
      <c r="Q96" s="490"/>
      <c r="R96" s="654"/>
      <c r="S96" s="491"/>
    </row>
    <row r="97" spans="1:19" ht="9" hidden="1" customHeight="1">
      <c r="A97" s="490"/>
      <c r="B97" s="3"/>
      <c r="C97" s="3"/>
      <c r="D97" s="8"/>
      <c r="E97" s="18"/>
      <c r="F97" s="492"/>
      <c r="G97" s="3"/>
      <c r="H97" s="492"/>
      <c r="I97" s="492"/>
      <c r="J97" s="493"/>
      <c r="K97" s="490"/>
      <c r="L97" s="494"/>
      <c r="M97" s="490"/>
      <c r="N97" s="490"/>
      <c r="O97" s="490"/>
      <c r="P97" s="490"/>
      <c r="Q97" s="490"/>
      <c r="R97" s="490"/>
      <c r="S97" s="491"/>
    </row>
    <row r="98" spans="1:19" ht="16.5" hidden="1" customHeight="1" thickBot="1">
      <c r="A98" s="490"/>
      <c r="B98" s="657"/>
      <c r="C98" s="656"/>
      <c r="D98" s="656"/>
      <c r="E98" s="656"/>
      <c r="F98" s="656"/>
      <c r="G98" s="538"/>
      <c r="H98" s="656"/>
      <c r="I98" s="656"/>
      <c r="J98" s="656" t="s">
        <v>19</v>
      </c>
      <c r="K98" s="656"/>
      <c r="L98" s="656"/>
      <c r="M98" s="538"/>
      <c r="N98" s="538"/>
      <c r="O98" s="538"/>
      <c r="P98" s="538"/>
      <c r="Q98" s="538"/>
      <c r="R98" s="539"/>
      <c r="S98" s="491"/>
    </row>
    <row r="99" spans="1:19" ht="6.75" hidden="1" customHeight="1">
      <c r="A99" s="490"/>
      <c r="B99" s="3"/>
      <c r="C99" s="3"/>
      <c r="D99" s="3"/>
      <c r="E99" s="3"/>
      <c r="F99" s="4"/>
      <c r="G99" s="4"/>
      <c r="H99" s="4"/>
      <c r="I99" s="4"/>
      <c r="J99" s="4"/>
      <c r="K99" s="3"/>
      <c r="L99" s="490"/>
      <c r="M99" s="490"/>
      <c r="N99" s="490"/>
      <c r="O99" s="490"/>
      <c r="P99" s="490"/>
      <c r="Q99" s="490"/>
      <c r="R99" s="490"/>
      <c r="S99" s="491"/>
    </row>
    <row r="100" spans="1:19" ht="25.5" hidden="1" customHeight="1" thickBot="1">
      <c r="A100" s="490"/>
      <c r="B100" s="658" t="s">
        <v>100</v>
      </c>
      <c r="C100" s="659"/>
      <c r="D100" s="656" t="s">
        <v>65</v>
      </c>
      <c r="E100" s="659"/>
      <c r="F100" s="660" t="s">
        <v>66</v>
      </c>
      <c r="G100" s="660"/>
      <c r="H100" s="659" t="s">
        <v>67</v>
      </c>
      <c r="I100" s="581"/>
      <c r="J100" s="656" t="s">
        <v>64</v>
      </c>
      <c r="K100" s="581"/>
      <c r="L100" s="656" t="s">
        <v>18</v>
      </c>
      <c r="M100" s="538"/>
      <c r="N100" s="656" t="s">
        <v>17</v>
      </c>
      <c r="O100" s="538"/>
      <c r="P100" s="661" t="s">
        <v>85</v>
      </c>
      <c r="Q100" s="538"/>
      <c r="R100" s="662" t="s">
        <v>109</v>
      </c>
      <c r="S100" s="491"/>
    </row>
    <row r="101" spans="1:19" hidden="1">
      <c r="A101" s="490"/>
      <c r="B101" s="43"/>
      <c r="C101" s="43"/>
      <c r="D101" s="6"/>
      <c r="E101" s="43"/>
      <c r="F101" s="6"/>
      <c r="G101" s="6"/>
      <c r="H101" s="43"/>
      <c r="I101" s="3"/>
      <c r="J101" s="6"/>
      <c r="K101" s="3"/>
      <c r="L101" s="4"/>
      <c r="M101" s="490"/>
      <c r="N101" s="490"/>
      <c r="O101" s="490"/>
      <c r="P101" s="490"/>
      <c r="Q101" s="490"/>
      <c r="R101" s="490"/>
      <c r="S101" s="491"/>
    </row>
    <row r="102" spans="1:19" s="497" customFormat="1" ht="14.25" hidden="1" customHeight="1">
      <c r="A102" s="495"/>
      <c r="B102" s="77" t="s">
        <v>75</v>
      </c>
      <c r="C102" s="43"/>
      <c r="D102" s="644">
        <v>4</v>
      </c>
      <c r="E102" s="18"/>
      <c r="F102" s="646" t="s">
        <v>29</v>
      </c>
      <c r="G102" s="43"/>
      <c r="H102" s="650"/>
      <c r="I102" s="3"/>
      <c r="J102" s="653"/>
      <c r="K102" s="3"/>
      <c r="L102" s="663">
        <f>IF(H102&gt;0,(J102*D102)/H102,0)</f>
        <v>0</v>
      </c>
      <c r="M102" s="495"/>
      <c r="N102" s="665">
        <f>L102*J96</f>
        <v>0</v>
      </c>
      <c r="O102" s="495"/>
      <c r="P102" s="665">
        <f>IF(Consolidado_Geral!$G$133=7.6%,-(0.0165+0.076)*N102,0)</f>
        <v>0</v>
      </c>
      <c r="Q102" s="495"/>
      <c r="R102" s="665">
        <f t="shared" ref="R102:R111" si="6">N102+P102</f>
        <v>0</v>
      </c>
      <c r="S102" s="496"/>
    </row>
    <row r="103" spans="1:19" s="497" customFormat="1" ht="14.25" hidden="1" customHeight="1">
      <c r="A103" s="495"/>
      <c r="B103" s="77" t="s">
        <v>74</v>
      </c>
      <c r="C103" s="18"/>
      <c r="D103" s="644">
        <v>1</v>
      </c>
      <c r="E103" s="18"/>
      <c r="F103" s="646" t="s">
        <v>63</v>
      </c>
      <c r="G103" s="43"/>
      <c r="H103" s="651"/>
      <c r="I103" s="3"/>
      <c r="J103" s="653"/>
      <c r="K103" s="3"/>
      <c r="L103" s="663">
        <f>IF(H103&gt;0,(J103/H103),0)</f>
        <v>0</v>
      </c>
      <c r="M103" s="495"/>
      <c r="N103" s="665">
        <f>L103*J96</f>
        <v>0</v>
      </c>
      <c r="O103" s="495"/>
      <c r="P103" s="665">
        <f>IF(Consolidado_Geral!$G$133=7.6%,-(0.0165+0.076)*N103,0)</f>
        <v>0</v>
      </c>
      <c r="Q103" s="495"/>
      <c r="R103" s="665">
        <f t="shared" si="6"/>
        <v>0</v>
      </c>
      <c r="S103" s="496"/>
    </row>
    <row r="104" spans="1:19" s="497" customFormat="1" ht="14.25" hidden="1" customHeight="1">
      <c r="A104" s="495"/>
      <c r="B104" s="77" t="s">
        <v>68</v>
      </c>
      <c r="C104" s="18"/>
      <c r="D104" s="644"/>
      <c r="E104" s="18"/>
      <c r="F104" s="647" t="s">
        <v>63</v>
      </c>
      <c r="G104" s="498"/>
      <c r="H104" s="650"/>
      <c r="I104" s="3"/>
      <c r="J104" s="653"/>
      <c r="K104" s="3"/>
      <c r="L104" s="663">
        <f t="shared" ref="L104:L110" si="7">IF(H104&gt;0,(J104*D104)/H104,0)</f>
        <v>0</v>
      </c>
      <c r="M104" s="495"/>
      <c r="N104" s="665">
        <f>L104*J96</f>
        <v>0</v>
      </c>
      <c r="O104" s="495"/>
      <c r="P104" s="665">
        <f>IF(Consolidado_Geral!$G$133=7.6%,-(0.0165+0.076)*N104,0)</f>
        <v>0</v>
      </c>
      <c r="Q104" s="495"/>
      <c r="R104" s="665">
        <f t="shared" si="6"/>
        <v>0</v>
      </c>
      <c r="S104" s="496"/>
    </row>
    <row r="105" spans="1:19" s="497" customFormat="1" ht="14.25" hidden="1" customHeight="1">
      <c r="A105" s="495"/>
      <c r="B105" s="77" t="s">
        <v>69</v>
      </c>
      <c r="C105" s="18"/>
      <c r="D105" s="644">
        <v>1</v>
      </c>
      <c r="E105" s="18"/>
      <c r="F105" s="647" t="s">
        <v>63</v>
      </c>
      <c r="G105" s="498"/>
      <c r="H105" s="650"/>
      <c r="I105" s="3"/>
      <c r="J105" s="653"/>
      <c r="K105" s="3"/>
      <c r="L105" s="663">
        <f t="shared" si="7"/>
        <v>0</v>
      </c>
      <c r="M105" s="495"/>
      <c r="N105" s="665">
        <f>L105*J96</f>
        <v>0</v>
      </c>
      <c r="O105" s="495"/>
      <c r="P105" s="665">
        <f>IF(Consolidado_Geral!$G$133=7.6%,-(0.0165+0.076)*N105,0)</f>
        <v>0</v>
      </c>
      <c r="Q105" s="495"/>
      <c r="R105" s="665">
        <f t="shared" si="6"/>
        <v>0</v>
      </c>
      <c r="S105" s="496"/>
    </row>
    <row r="106" spans="1:19" s="497" customFormat="1" ht="14.25" hidden="1" customHeight="1">
      <c r="A106" s="495"/>
      <c r="B106" s="77" t="s">
        <v>70</v>
      </c>
      <c r="C106" s="18"/>
      <c r="D106" s="644">
        <v>1</v>
      </c>
      <c r="E106" s="18"/>
      <c r="F106" s="647" t="s">
        <v>63</v>
      </c>
      <c r="G106" s="498"/>
      <c r="H106" s="650"/>
      <c r="I106" s="3"/>
      <c r="J106" s="653"/>
      <c r="K106" s="3"/>
      <c r="L106" s="663">
        <f t="shared" si="7"/>
        <v>0</v>
      </c>
      <c r="M106" s="495"/>
      <c r="N106" s="665">
        <f>L106*J96</f>
        <v>0</v>
      </c>
      <c r="O106" s="495"/>
      <c r="P106" s="665">
        <f>IF(Consolidado_Geral!$G$133=7.6%,-(0.0165+0.076)*N106,0)</f>
        <v>0</v>
      </c>
      <c r="Q106" s="495"/>
      <c r="R106" s="665">
        <f t="shared" si="6"/>
        <v>0</v>
      </c>
      <c r="S106" s="496"/>
    </row>
    <row r="107" spans="1:19" s="497" customFormat="1" ht="14.25" hidden="1" customHeight="1">
      <c r="A107" s="495"/>
      <c r="B107" s="77" t="s">
        <v>71</v>
      </c>
      <c r="C107" s="18"/>
      <c r="D107" s="644">
        <v>1</v>
      </c>
      <c r="E107" s="18"/>
      <c r="F107" s="647" t="s">
        <v>63</v>
      </c>
      <c r="G107" s="498"/>
      <c r="H107" s="650"/>
      <c r="I107" s="3"/>
      <c r="J107" s="653"/>
      <c r="K107" s="3"/>
      <c r="L107" s="663">
        <f t="shared" si="7"/>
        <v>0</v>
      </c>
      <c r="M107" s="495"/>
      <c r="N107" s="665">
        <f>L107*J96</f>
        <v>0</v>
      </c>
      <c r="O107" s="495"/>
      <c r="P107" s="665">
        <f>IF(Consolidado_Geral!$G$133=7.6%,-(0.0165+0.076)*N107,0)</f>
        <v>0</v>
      </c>
      <c r="Q107" s="495"/>
      <c r="R107" s="665">
        <f t="shared" si="6"/>
        <v>0</v>
      </c>
      <c r="S107" s="496"/>
    </row>
    <row r="108" spans="1:19" s="497" customFormat="1" ht="14.25" hidden="1" customHeight="1">
      <c r="A108" s="495"/>
      <c r="B108" s="680" t="s">
        <v>72</v>
      </c>
      <c r="C108" s="499"/>
      <c r="D108" s="644">
        <v>1</v>
      </c>
      <c r="E108" s="499"/>
      <c r="F108" s="648" t="s">
        <v>63</v>
      </c>
      <c r="G108" s="500"/>
      <c r="H108" s="650"/>
      <c r="I108" s="3"/>
      <c r="J108" s="653"/>
      <c r="K108" s="3"/>
      <c r="L108" s="663">
        <f t="shared" si="7"/>
        <v>0</v>
      </c>
      <c r="M108" s="495"/>
      <c r="N108" s="665">
        <f>L108*J96</f>
        <v>0</v>
      </c>
      <c r="O108" s="495"/>
      <c r="P108" s="665">
        <f>IF(Consolidado_Geral!$G$133=7.6%,-(0.0165+0.076)*N108,0)</f>
        <v>0</v>
      </c>
      <c r="Q108" s="495"/>
      <c r="R108" s="665">
        <f t="shared" si="6"/>
        <v>0</v>
      </c>
      <c r="S108" s="496"/>
    </row>
    <row r="109" spans="1:19" s="497" customFormat="1" ht="14.25" hidden="1" customHeight="1">
      <c r="A109" s="495"/>
      <c r="B109" s="77" t="s">
        <v>73</v>
      </c>
      <c r="C109" s="18"/>
      <c r="D109" s="644">
        <v>1</v>
      </c>
      <c r="E109" s="18"/>
      <c r="F109" s="648" t="s">
        <v>29</v>
      </c>
      <c r="G109" s="500"/>
      <c r="H109" s="650"/>
      <c r="I109" s="3"/>
      <c r="J109" s="653"/>
      <c r="K109" s="3"/>
      <c r="L109" s="663">
        <f t="shared" si="7"/>
        <v>0</v>
      </c>
      <c r="M109" s="495"/>
      <c r="N109" s="665">
        <f>L109*J96</f>
        <v>0</v>
      </c>
      <c r="O109" s="495"/>
      <c r="P109" s="665">
        <f>IF(Consolidado_Geral!$G$133=7.6%,-(0.0165+0.076)*N109,0)</f>
        <v>0</v>
      </c>
      <c r="Q109" s="495"/>
      <c r="R109" s="665">
        <f t="shared" si="6"/>
        <v>0</v>
      </c>
      <c r="S109" s="496"/>
    </row>
    <row r="110" spans="1:19" s="497" customFormat="1" ht="14.25" hidden="1" customHeight="1" thickBot="1">
      <c r="A110" s="495"/>
      <c r="B110" s="66" t="s">
        <v>76</v>
      </c>
      <c r="C110" s="3"/>
      <c r="D110" s="645"/>
      <c r="E110" s="3"/>
      <c r="F110" s="649" t="s">
        <v>29</v>
      </c>
      <c r="G110" s="3"/>
      <c r="H110" s="650"/>
      <c r="I110" s="3"/>
      <c r="J110" s="653"/>
      <c r="K110" s="3"/>
      <c r="L110" s="663">
        <f t="shared" si="7"/>
        <v>0</v>
      </c>
      <c r="M110" s="495"/>
      <c r="N110" s="665">
        <f>L110*J96</f>
        <v>0</v>
      </c>
      <c r="O110" s="495"/>
      <c r="P110" s="665">
        <f>IF(Consolidado_Geral!$G$133=7.6%,-(0.0165+0.076)*N110,0)</f>
        <v>0</v>
      </c>
      <c r="Q110" s="495"/>
      <c r="R110" s="665">
        <f t="shared" si="6"/>
        <v>0</v>
      </c>
      <c r="S110" s="496"/>
    </row>
    <row r="111" spans="1:19" ht="14.25" hidden="1" customHeight="1" thickBot="1">
      <c r="A111" s="490"/>
      <c r="B111" s="681" t="s">
        <v>230</v>
      </c>
      <c r="C111" s="3"/>
      <c r="D111" s="497"/>
      <c r="E111" s="3"/>
      <c r="F111" s="500"/>
      <c r="G111" s="3"/>
      <c r="H111" s="652"/>
      <c r="I111" s="3"/>
      <c r="J111" s="553">
        <v>0.01</v>
      </c>
      <c r="K111" s="3"/>
      <c r="L111" s="664">
        <f>IF(H111&gt;0,J111*(R96-(D103*J103))/H111,0)</f>
        <v>0</v>
      </c>
      <c r="M111" s="490"/>
      <c r="N111" s="666">
        <f>L111*J96</f>
        <v>0</v>
      </c>
      <c r="O111" s="490"/>
      <c r="P111" s="666">
        <f>IF(Consolidado_Geral!$G$133=7.6%,-(0.0165+0.076)*N111,0)</f>
        <v>0</v>
      </c>
      <c r="Q111" s="490"/>
      <c r="R111" s="666">
        <f t="shared" si="6"/>
        <v>0</v>
      </c>
      <c r="S111" s="491"/>
    </row>
    <row r="112" spans="1:19" ht="4.5" hidden="1" customHeight="1">
      <c r="A112" s="490"/>
      <c r="B112" s="490"/>
      <c r="C112" s="490"/>
      <c r="D112" s="490"/>
      <c r="E112" s="3"/>
      <c r="F112" s="4"/>
      <c r="G112" s="4"/>
      <c r="H112" s="4"/>
      <c r="I112" s="4"/>
      <c r="J112" s="4"/>
      <c r="K112" s="3"/>
      <c r="L112" s="4"/>
      <c r="M112" s="490"/>
      <c r="N112" s="490"/>
      <c r="O112" s="490"/>
      <c r="P112" s="490"/>
      <c r="Q112" s="490"/>
      <c r="R112" s="490"/>
      <c r="S112" s="491"/>
    </row>
    <row r="113" spans="1:20" s="497" customFormat="1" ht="16.5" hidden="1" customHeight="1" thickBot="1">
      <c r="A113" s="495"/>
      <c r="B113" s="3"/>
      <c r="C113" s="3"/>
      <c r="D113" s="44"/>
      <c r="E113" s="3"/>
      <c r="F113" s="3"/>
      <c r="G113" s="3"/>
      <c r="H113" s="501"/>
      <c r="I113" s="36"/>
      <c r="J113" s="682" t="s">
        <v>109</v>
      </c>
      <c r="K113" s="502"/>
      <c r="L113" s="667">
        <f>SUM(L102:L110)</f>
        <v>0</v>
      </c>
      <c r="M113" s="495"/>
      <c r="N113" s="668">
        <f>SUM(N102:N110)</f>
        <v>0</v>
      </c>
      <c r="O113" s="495"/>
      <c r="P113" s="668">
        <f>SUM(P102:P110)</f>
        <v>0</v>
      </c>
      <c r="Q113" s="495"/>
      <c r="R113" s="668">
        <f>SUM(R102:R111)</f>
        <v>0</v>
      </c>
      <c r="S113" s="496"/>
      <c r="T113" s="503"/>
    </row>
    <row r="114" spans="1:20" ht="8.25" hidden="1" customHeight="1">
      <c r="A114" s="490"/>
      <c r="B114" s="4"/>
      <c r="C114" s="4"/>
      <c r="D114" s="10"/>
      <c r="E114" s="3"/>
      <c r="F114" s="504"/>
      <c r="G114" s="4"/>
      <c r="H114" s="490"/>
      <c r="I114" s="490"/>
      <c r="J114" s="505"/>
      <c r="K114" s="3"/>
      <c r="L114" s="4"/>
      <c r="M114" s="490"/>
      <c r="N114" s="490"/>
      <c r="O114" s="490"/>
      <c r="P114" s="490"/>
      <c r="Q114" s="490"/>
      <c r="R114" s="490"/>
      <c r="S114" s="491"/>
    </row>
    <row r="115" spans="1:20" s="507" customFormat="1" ht="16.5" hidden="1" customHeight="1" thickBot="1">
      <c r="A115" s="492"/>
      <c r="B115" s="639"/>
      <c r="C115" s="640"/>
      <c r="D115" s="640"/>
      <c r="E115" s="640"/>
      <c r="F115" s="640"/>
      <c r="G115" s="641"/>
      <c r="H115" s="640"/>
      <c r="I115" s="640"/>
      <c r="J115" s="656" t="s">
        <v>43</v>
      </c>
      <c r="K115" s="640"/>
      <c r="L115" s="640"/>
      <c r="M115" s="641"/>
      <c r="N115" s="641"/>
      <c r="O115" s="641"/>
      <c r="P115" s="641"/>
      <c r="Q115" s="641"/>
      <c r="R115" s="642"/>
      <c r="S115" s="506"/>
    </row>
    <row r="116" spans="1:20" ht="13.5" hidden="1" customHeight="1">
      <c r="A116" s="490"/>
      <c r="B116" s="6"/>
      <c r="C116" s="6"/>
      <c r="D116" s="6"/>
      <c r="E116" s="6"/>
      <c r="F116" s="6"/>
      <c r="G116" s="6"/>
      <c r="H116" s="6"/>
      <c r="I116" s="6"/>
      <c r="J116" s="669" t="s">
        <v>81</v>
      </c>
      <c r="K116" s="508"/>
      <c r="L116" s="669" t="s">
        <v>82</v>
      </c>
      <c r="M116" s="490"/>
      <c r="N116" s="490"/>
      <c r="O116" s="490"/>
      <c r="P116" s="490"/>
      <c r="Q116" s="490"/>
      <c r="R116" s="490"/>
      <c r="S116" s="491"/>
    </row>
    <row r="117" spans="1:20" ht="16.5" hidden="1" customHeight="1" thickBot="1">
      <c r="A117" s="490"/>
      <c r="B117" s="100" t="s">
        <v>231</v>
      </c>
      <c r="C117" s="672"/>
      <c r="D117" s="672"/>
      <c r="E117" s="672"/>
      <c r="F117" s="672"/>
      <c r="G117" s="672"/>
      <c r="H117" s="672"/>
      <c r="I117" s="6"/>
      <c r="J117" s="654">
        <f>R96*3%</f>
        <v>0</v>
      </c>
      <c r="K117" s="6"/>
      <c r="L117" s="670">
        <f>J117/12</f>
        <v>0</v>
      </c>
      <c r="M117" s="490"/>
      <c r="N117" s="490"/>
      <c r="O117" s="490"/>
      <c r="P117" s="490"/>
      <c r="Q117" s="490"/>
      <c r="R117" s="490"/>
      <c r="S117" s="491"/>
    </row>
    <row r="118" spans="1:20" ht="3.75" hidden="1" customHeight="1">
      <c r="A118" s="490"/>
      <c r="B118" s="672"/>
      <c r="C118" s="672"/>
      <c r="D118" s="672"/>
      <c r="E118" s="672"/>
      <c r="F118" s="672"/>
      <c r="G118" s="672"/>
      <c r="H118" s="672"/>
      <c r="I118" s="6"/>
      <c r="J118" s="6"/>
      <c r="K118" s="6"/>
      <c r="L118" s="671"/>
      <c r="M118" s="490"/>
      <c r="N118" s="490"/>
      <c r="O118" s="490"/>
      <c r="P118" s="490"/>
      <c r="Q118" s="490"/>
      <c r="R118" s="490"/>
      <c r="S118" s="491"/>
    </row>
    <row r="119" spans="1:20" ht="16.5" hidden="1" customHeight="1" thickBot="1">
      <c r="A119" s="490"/>
      <c r="B119" s="101" t="s">
        <v>77</v>
      </c>
      <c r="C119" s="672"/>
      <c r="D119" s="672"/>
      <c r="E119" s="672"/>
      <c r="F119" s="672"/>
      <c r="G119" s="672"/>
      <c r="H119" s="672"/>
      <c r="I119" s="6"/>
      <c r="J119" s="654"/>
      <c r="K119" s="6"/>
      <c r="L119" s="670">
        <f>J119/12</f>
        <v>0</v>
      </c>
      <c r="M119" s="490"/>
      <c r="N119" s="490"/>
      <c r="O119" s="490"/>
      <c r="P119" s="560" t="s">
        <v>178</v>
      </c>
      <c r="Q119" s="490"/>
      <c r="R119" s="675">
        <f>L117+L119</f>
        <v>0</v>
      </c>
      <c r="S119" s="491"/>
    </row>
    <row r="120" spans="1:20" hidden="1">
      <c r="A120" s="490"/>
      <c r="B120" s="4"/>
      <c r="C120" s="4"/>
      <c r="D120" s="10"/>
      <c r="E120" s="3"/>
      <c r="F120" s="4"/>
      <c r="G120" s="4"/>
      <c r="H120" s="492"/>
      <c r="I120" s="492"/>
      <c r="J120" s="505"/>
      <c r="K120" s="3"/>
      <c r="L120" s="4"/>
      <c r="M120" s="490"/>
      <c r="N120" s="490"/>
      <c r="O120" s="490"/>
      <c r="P120" s="490"/>
      <c r="Q120" s="490"/>
      <c r="R120" s="490"/>
      <c r="S120" s="491"/>
    </row>
    <row r="121" spans="1:20" ht="21.75" hidden="1" customHeight="1" thickBot="1">
      <c r="A121" s="490"/>
      <c r="B121" s="490"/>
      <c r="C121" s="490"/>
      <c r="D121" s="490"/>
      <c r="E121" s="3"/>
      <c r="F121" s="4"/>
      <c r="G121" s="4"/>
      <c r="H121" s="492"/>
      <c r="I121" s="492"/>
      <c r="J121" s="490"/>
      <c r="K121" s="509"/>
      <c r="L121" s="490"/>
      <c r="M121" s="490"/>
      <c r="N121" s="490"/>
      <c r="O121" s="492"/>
      <c r="P121" s="673" t="s">
        <v>44</v>
      </c>
      <c r="Q121" s="643"/>
      <c r="R121" s="674">
        <f>IF(J96&gt;0,R113+R119,0)</f>
        <v>0</v>
      </c>
      <c r="S121" s="491"/>
    </row>
    <row r="122" spans="1:20" hidden="1">
      <c r="B122" s="510"/>
      <c r="C122" s="510"/>
      <c r="D122" s="510"/>
      <c r="E122" s="510"/>
      <c r="F122" s="510"/>
      <c r="G122" s="510"/>
      <c r="H122" s="510"/>
      <c r="I122" s="510"/>
      <c r="J122" s="510"/>
      <c r="K122" s="510"/>
      <c r="L122" s="510"/>
    </row>
    <row r="123" spans="1:20" hidden="1">
      <c r="B123" s="510"/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</row>
    <row r="124" spans="1:20" ht="21" hidden="1" customHeight="1" thickBot="1">
      <c r="A124" s="490"/>
      <c r="B124" s="1073" t="s">
        <v>408</v>
      </c>
      <c r="C124" s="1074"/>
      <c r="D124" s="1074"/>
      <c r="E124" s="1074"/>
      <c r="F124" s="1074"/>
      <c r="G124" s="1074"/>
      <c r="H124" s="1074"/>
      <c r="I124" s="1074"/>
      <c r="J124" s="1074"/>
      <c r="K124" s="1074"/>
      <c r="L124" s="1074"/>
      <c r="M124" s="1074"/>
      <c r="N124" s="1074"/>
      <c r="O124" s="1074"/>
      <c r="P124" s="1074"/>
      <c r="Q124" s="1074"/>
      <c r="R124" s="1075"/>
      <c r="S124" s="491"/>
    </row>
    <row r="125" spans="1:20" ht="9" hidden="1" customHeight="1">
      <c r="A125" s="490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490"/>
      <c r="M125" s="490"/>
      <c r="N125" s="490"/>
      <c r="O125" s="490"/>
      <c r="P125" s="490"/>
      <c r="Q125" s="490"/>
      <c r="R125" s="490"/>
      <c r="S125" s="491"/>
    </row>
    <row r="126" spans="1:20" ht="15.75" hidden="1" customHeight="1" thickBot="1">
      <c r="A126" s="490"/>
      <c r="B126" s="676" t="s">
        <v>16</v>
      </c>
      <c r="C126" s="66"/>
      <c r="D126" s="677"/>
      <c r="E126" s="77"/>
      <c r="F126" s="678"/>
      <c r="G126" s="679"/>
      <c r="H126" s="73"/>
      <c r="I126" s="490"/>
      <c r="J126" s="655"/>
      <c r="K126" s="698" t="s">
        <v>20</v>
      </c>
      <c r="L126" s="491"/>
      <c r="N126" s="679"/>
      <c r="O126" s="490"/>
      <c r="P126" s="699" t="s">
        <v>229</v>
      </c>
      <c r="Q126" s="490"/>
      <c r="R126" s="654"/>
      <c r="S126" s="491"/>
    </row>
    <row r="127" spans="1:20" ht="9" hidden="1" customHeight="1">
      <c r="A127" s="490"/>
      <c r="B127" s="3"/>
      <c r="C127" s="3"/>
      <c r="D127" s="8"/>
      <c r="E127" s="18"/>
      <c r="F127" s="492"/>
      <c r="G127" s="3"/>
      <c r="H127" s="492"/>
      <c r="I127" s="492"/>
      <c r="J127" s="493"/>
      <c r="K127" s="490"/>
      <c r="L127" s="494"/>
      <c r="M127" s="490"/>
      <c r="N127" s="490"/>
      <c r="O127" s="490"/>
      <c r="P127" s="490"/>
      <c r="Q127" s="490"/>
      <c r="R127" s="490"/>
      <c r="S127" s="491"/>
    </row>
    <row r="128" spans="1:20" ht="16.5" hidden="1" customHeight="1" thickBot="1">
      <c r="A128" s="490"/>
      <c r="B128" s="657"/>
      <c r="C128" s="656"/>
      <c r="D128" s="656"/>
      <c r="E128" s="656"/>
      <c r="F128" s="656"/>
      <c r="G128" s="538"/>
      <c r="H128" s="656"/>
      <c r="I128" s="656"/>
      <c r="J128" s="656" t="s">
        <v>19</v>
      </c>
      <c r="K128" s="656"/>
      <c r="L128" s="656"/>
      <c r="M128" s="538"/>
      <c r="N128" s="538"/>
      <c r="O128" s="538"/>
      <c r="P128" s="538"/>
      <c r="Q128" s="538"/>
      <c r="R128" s="539"/>
      <c r="S128" s="491"/>
    </row>
    <row r="129" spans="1:20" ht="6.75" hidden="1" customHeight="1">
      <c r="A129" s="490"/>
      <c r="B129" s="3"/>
      <c r="C129" s="3"/>
      <c r="D129" s="3"/>
      <c r="E129" s="3"/>
      <c r="F129" s="4"/>
      <c r="G129" s="4"/>
      <c r="H129" s="4"/>
      <c r="I129" s="4"/>
      <c r="J129" s="4"/>
      <c r="K129" s="3"/>
      <c r="L129" s="490"/>
      <c r="M129" s="490"/>
      <c r="N129" s="490"/>
      <c r="O129" s="490"/>
      <c r="P129" s="490"/>
      <c r="Q129" s="490"/>
      <c r="R129" s="490"/>
      <c r="S129" s="491"/>
    </row>
    <row r="130" spans="1:20" ht="25.5" hidden="1" customHeight="1" thickBot="1">
      <c r="A130" s="490"/>
      <c r="B130" s="658" t="s">
        <v>100</v>
      </c>
      <c r="C130" s="659"/>
      <c r="D130" s="656" t="s">
        <v>65</v>
      </c>
      <c r="E130" s="659"/>
      <c r="F130" s="660" t="s">
        <v>66</v>
      </c>
      <c r="G130" s="660"/>
      <c r="H130" s="659" t="s">
        <v>67</v>
      </c>
      <c r="I130" s="581"/>
      <c r="J130" s="656" t="s">
        <v>64</v>
      </c>
      <c r="K130" s="581"/>
      <c r="L130" s="656" t="s">
        <v>18</v>
      </c>
      <c r="M130" s="538"/>
      <c r="N130" s="656" t="s">
        <v>17</v>
      </c>
      <c r="O130" s="538"/>
      <c r="P130" s="661" t="s">
        <v>85</v>
      </c>
      <c r="Q130" s="538"/>
      <c r="R130" s="662" t="s">
        <v>109</v>
      </c>
      <c r="S130" s="491"/>
    </row>
    <row r="131" spans="1:20" hidden="1">
      <c r="A131" s="490"/>
      <c r="B131" s="43"/>
      <c r="C131" s="43"/>
      <c r="D131" s="6"/>
      <c r="E131" s="43"/>
      <c r="F131" s="6"/>
      <c r="G131" s="6"/>
      <c r="H131" s="43"/>
      <c r="I131" s="3"/>
      <c r="J131" s="6"/>
      <c r="K131" s="3"/>
      <c r="L131" s="4"/>
      <c r="M131" s="490"/>
      <c r="N131" s="490"/>
      <c r="O131" s="490"/>
      <c r="P131" s="490"/>
      <c r="Q131" s="490"/>
      <c r="R131" s="490"/>
      <c r="S131" s="491"/>
    </row>
    <row r="132" spans="1:20" s="497" customFormat="1" ht="14.25" hidden="1" customHeight="1">
      <c r="A132" s="495"/>
      <c r="B132" s="77" t="s">
        <v>75</v>
      </c>
      <c r="C132" s="43"/>
      <c r="D132" s="644">
        <v>4</v>
      </c>
      <c r="E132" s="18"/>
      <c r="F132" s="646" t="s">
        <v>29</v>
      </c>
      <c r="G132" s="43"/>
      <c r="H132" s="650"/>
      <c r="I132" s="3"/>
      <c r="J132" s="653"/>
      <c r="K132" s="3"/>
      <c r="L132" s="663">
        <f>IF(H132&gt;0,(J132*D132)/H132,0)</f>
        <v>0</v>
      </c>
      <c r="M132" s="495"/>
      <c r="N132" s="665">
        <f>L132*J126</f>
        <v>0</v>
      </c>
      <c r="O132" s="495"/>
      <c r="P132" s="665">
        <f>IF(Consolidado_Geral!$G$133=7.6%,-(0.0165+0.076)*N132,0)</f>
        <v>0</v>
      </c>
      <c r="Q132" s="495"/>
      <c r="R132" s="665">
        <f t="shared" ref="R132:R141" si="8">N132+P132</f>
        <v>0</v>
      </c>
      <c r="S132" s="496"/>
    </row>
    <row r="133" spans="1:20" s="497" customFormat="1" ht="14.25" hidden="1" customHeight="1">
      <c r="A133" s="495"/>
      <c r="B133" s="77" t="s">
        <v>74</v>
      </c>
      <c r="C133" s="18"/>
      <c r="D133" s="644">
        <v>1</v>
      </c>
      <c r="E133" s="18"/>
      <c r="F133" s="646" t="s">
        <v>63</v>
      </c>
      <c r="G133" s="43"/>
      <c r="H133" s="651"/>
      <c r="I133" s="3"/>
      <c r="J133" s="653"/>
      <c r="K133" s="3"/>
      <c r="L133" s="663">
        <f>IF(H133&gt;0,(J133/H133),0)</f>
        <v>0</v>
      </c>
      <c r="M133" s="495"/>
      <c r="N133" s="665">
        <f>L133*J126</f>
        <v>0</v>
      </c>
      <c r="O133" s="495"/>
      <c r="P133" s="665">
        <f>IF(Consolidado_Geral!$G$133=7.6%,-(0.0165+0.076)*N133,0)</f>
        <v>0</v>
      </c>
      <c r="Q133" s="495"/>
      <c r="R133" s="665">
        <f t="shared" si="8"/>
        <v>0</v>
      </c>
      <c r="S133" s="496"/>
    </row>
    <row r="134" spans="1:20" s="497" customFormat="1" ht="14.25" hidden="1" customHeight="1">
      <c r="A134" s="495"/>
      <c r="B134" s="77" t="s">
        <v>68</v>
      </c>
      <c r="C134" s="18"/>
      <c r="D134" s="644"/>
      <c r="E134" s="18"/>
      <c r="F134" s="647" t="s">
        <v>63</v>
      </c>
      <c r="G134" s="498"/>
      <c r="H134" s="650"/>
      <c r="I134" s="3"/>
      <c r="J134" s="653"/>
      <c r="K134" s="3"/>
      <c r="L134" s="663">
        <f t="shared" ref="L134:L140" si="9">IF(H134&gt;0,(J134*D134)/H134,0)</f>
        <v>0</v>
      </c>
      <c r="M134" s="495"/>
      <c r="N134" s="665">
        <f>L134*J126</f>
        <v>0</v>
      </c>
      <c r="O134" s="495"/>
      <c r="P134" s="665">
        <f>IF(Consolidado_Geral!$G$133=7.6%,-(0.0165+0.076)*N134,0)</f>
        <v>0</v>
      </c>
      <c r="Q134" s="495"/>
      <c r="R134" s="665">
        <f t="shared" si="8"/>
        <v>0</v>
      </c>
      <c r="S134" s="496"/>
    </row>
    <row r="135" spans="1:20" s="497" customFormat="1" ht="14.25" hidden="1" customHeight="1">
      <c r="A135" s="495"/>
      <c r="B135" s="77" t="s">
        <v>69</v>
      </c>
      <c r="C135" s="18"/>
      <c r="D135" s="644">
        <v>1</v>
      </c>
      <c r="E135" s="18"/>
      <c r="F135" s="647" t="s">
        <v>63</v>
      </c>
      <c r="G135" s="498"/>
      <c r="H135" s="650"/>
      <c r="I135" s="3"/>
      <c r="J135" s="653"/>
      <c r="K135" s="3"/>
      <c r="L135" s="663">
        <f t="shared" si="9"/>
        <v>0</v>
      </c>
      <c r="M135" s="495"/>
      <c r="N135" s="665">
        <f>L135*J126</f>
        <v>0</v>
      </c>
      <c r="O135" s="495"/>
      <c r="P135" s="665">
        <f>IF(Consolidado_Geral!$G$133=7.6%,-(0.0165+0.076)*N135,0)</f>
        <v>0</v>
      </c>
      <c r="Q135" s="495"/>
      <c r="R135" s="665">
        <f t="shared" si="8"/>
        <v>0</v>
      </c>
      <c r="S135" s="496"/>
    </row>
    <row r="136" spans="1:20" s="497" customFormat="1" ht="14.25" hidden="1" customHeight="1">
      <c r="A136" s="495"/>
      <c r="B136" s="77" t="s">
        <v>70</v>
      </c>
      <c r="C136" s="18"/>
      <c r="D136" s="644">
        <v>1</v>
      </c>
      <c r="E136" s="18"/>
      <c r="F136" s="647" t="s">
        <v>63</v>
      </c>
      <c r="G136" s="498"/>
      <c r="H136" s="650"/>
      <c r="I136" s="3"/>
      <c r="J136" s="653"/>
      <c r="K136" s="3"/>
      <c r="L136" s="663">
        <f t="shared" si="9"/>
        <v>0</v>
      </c>
      <c r="M136" s="495"/>
      <c r="N136" s="665">
        <f>L136*J126</f>
        <v>0</v>
      </c>
      <c r="O136" s="495"/>
      <c r="P136" s="665">
        <f>IF(Consolidado_Geral!$G$133=7.6%,-(0.0165+0.076)*N136,0)</f>
        <v>0</v>
      </c>
      <c r="Q136" s="495"/>
      <c r="R136" s="665">
        <f t="shared" si="8"/>
        <v>0</v>
      </c>
      <c r="S136" s="496"/>
    </row>
    <row r="137" spans="1:20" s="497" customFormat="1" ht="14.25" hidden="1" customHeight="1">
      <c r="A137" s="495"/>
      <c r="B137" s="77" t="s">
        <v>71</v>
      </c>
      <c r="C137" s="18"/>
      <c r="D137" s="644">
        <v>1</v>
      </c>
      <c r="E137" s="18"/>
      <c r="F137" s="647" t="s">
        <v>63</v>
      </c>
      <c r="G137" s="498"/>
      <c r="H137" s="650"/>
      <c r="I137" s="3"/>
      <c r="J137" s="653"/>
      <c r="K137" s="3"/>
      <c r="L137" s="663">
        <f t="shared" si="9"/>
        <v>0</v>
      </c>
      <c r="M137" s="495"/>
      <c r="N137" s="665">
        <f>L137*J126</f>
        <v>0</v>
      </c>
      <c r="O137" s="495"/>
      <c r="P137" s="665">
        <f>IF(Consolidado_Geral!$G$133=7.6%,-(0.0165+0.076)*N137,0)</f>
        <v>0</v>
      </c>
      <c r="Q137" s="495"/>
      <c r="R137" s="665">
        <f t="shared" si="8"/>
        <v>0</v>
      </c>
      <c r="S137" s="496"/>
    </row>
    <row r="138" spans="1:20" s="497" customFormat="1" ht="14.25" hidden="1" customHeight="1">
      <c r="A138" s="495"/>
      <c r="B138" s="680" t="s">
        <v>72</v>
      </c>
      <c r="C138" s="499"/>
      <c r="D138" s="644">
        <v>1</v>
      </c>
      <c r="E138" s="499"/>
      <c r="F138" s="648" t="s">
        <v>63</v>
      </c>
      <c r="G138" s="500"/>
      <c r="H138" s="650"/>
      <c r="I138" s="3"/>
      <c r="J138" s="653"/>
      <c r="K138" s="3"/>
      <c r="L138" s="663">
        <f t="shared" si="9"/>
        <v>0</v>
      </c>
      <c r="M138" s="495"/>
      <c r="N138" s="665">
        <f>L138*J126</f>
        <v>0</v>
      </c>
      <c r="O138" s="495"/>
      <c r="P138" s="665">
        <f>IF(Consolidado_Geral!$G$133=7.6%,-(0.0165+0.076)*N138,0)</f>
        <v>0</v>
      </c>
      <c r="Q138" s="495"/>
      <c r="R138" s="665">
        <f t="shared" si="8"/>
        <v>0</v>
      </c>
      <c r="S138" s="496"/>
    </row>
    <row r="139" spans="1:20" s="497" customFormat="1" ht="14.25" hidden="1" customHeight="1">
      <c r="A139" s="495"/>
      <c r="B139" s="77" t="s">
        <v>73</v>
      </c>
      <c r="C139" s="18"/>
      <c r="D139" s="644">
        <v>1</v>
      </c>
      <c r="E139" s="18"/>
      <c r="F139" s="648" t="s">
        <v>29</v>
      </c>
      <c r="G139" s="500"/>
      <c r="H139" s="650"/>
      <c r="I139" s="3"/>
      <c r="J139" s="653"/>
      <c r="K139" s="3"/>
      <c r="L139" s="663">
        <f t="shared" si="9"/>
        <v>0</v>
      </c>
      <c r="M139" s="495"/>
      <c r="N139" s="665">
        <f>L139*J126</f>
        <v>0</v>
      </c>
      <c r="O139" s="495"/>
      <c r="P139" s="665">
        <f>IF(Consolidado_Geral!$G$133=7.6%,-(0.0165+0.076)*N139,0)</f>
        <v>0</v>
      </c>
      <c r="Q139" s="495"/>
      <c r="R139" s="665">
        <f t="shared" si="8"/>
        <v>0</v>
      </c>
      <c r="S139" s="496"/>
    </row>
    <row r="140" spans="1:20" s="497" customFormat="1" ht="14.25" hidden="1" customHeight="1" thickBot="1">
      <c r="A140" s="495"/>
      <c r="B140" s="66" t="s">
        <v>76</v>
      </c>
      <c r="C140" s="3"/>
      <c r="D140" s="645"/>
      <c r="E140" s="3"/>
      <c r="F140" s="649" t="s">
        <v>29</v>
      </c>
      <c r="G140" s="3"/>
      <c r="H140" s="650"/>
      <c r="I140" s="3"/>
      <c r="J140" s="653"/>
      <c r="K140" s="3"/>
      <c r="L140" s="663">
        <f t="shared" si="9"/>
        <v>0</v>
      </c>
      <c r="M140" s="495"/>
      <c r="N140" s="665">
        <f>L140*J126</f>
        <v>0</v>
      </c>
      <c r="O140" s="495"/>
      <c r="P140" s="665">
        <f>IF(Consolidado_Geral!$G$133=7.6%,-(0.0165+0.076)*N140,0)</f>
        <v>0</v>
      </c>
      <c r="Q140" s="495"/>
      <c r="R140" s="665">
        <f t="shared" si="8"/>
        <v>0</v>
      </c>
      <c r="S140" s="496"/>
    </row>
    <row r="141" spans="1:20" ht="14.25" hidden="1" customHeight="1" thickBot="1">
      <c r="A141" s="490"/>
      <c r="B141" s="681" t="s">
        <v>230</v>
      </c>
      <c r="C141" s="3"/>
      <c r="D141" s="497"/>
      <c r="E141" s="3"/>
      <c r="F141" s="500"/>
      <c r="G141" s="3"/>
      <c r="H141" s="652"/>
      <c r="I141" s="3"/>
      <c r="J141" s="553">
        <v>0.01</v>
      </c>
      <c r="K141" s="3"/>
      <c r="L141" s="664">
        <f>IF(H141&gt;0,J141*(R126-(D133*J133))/H141,0)</f>
        <v>0</v>
      </c>
      <c r="M141" s="490"/>
      <c r="N141" s="666">
        <f>L141*J126</f>
        <v>0</v>
      </c>
      <c r="O141" s="490"/>
      <c r="P141" s="666">
        <f>IF(Consolidado_Geral!$G$133=7.6%,-(0.0165+0.076)*N141,0)</f>
        <v>0</v>
      </c>
      <c r="Q141" s="490"/>
      <c r="R141" s="666">
        <f t="shared" si="8"/>
        <v>0</v>
      </c>
      <c r="S141" s="491"/>
    </row>
    <row r="142" spans="1:20" ht="4.5" hidden="1" customHeight="1">
      <c r="A142" s="490"/>
      <c r="B142" s="490"/>
      <c r="C142" s="490"/>
      <c r="D142" s="490"/>
      <c r="E142" s="3"/>
      <c r="F142" s="4"/>
      <c r="G142" s="4"/>
      <c r="H142" s="4"/>
      <c r="I142" s="4"/>
      <c r="J142" s="4"/>
      <c r="K142" s="3"/>
      <c r="L142" s="4"/>
      <c r="M142" s="490"/>
      <c r="N142" s="490"/>
      <c r="O142" s="490"/>
      <c r="P142" s="490"/>
      <c r="Q142" s="490"/>
      <c r="R142" s="490"/>
      <c r="S142" s="491"/>
    </row>
    <row r="143" spans="1:20" s="497" customFormat="1" ht="16.5" hidden="1" customHeight="1" thickBot="1">
      <c r="A143" s="495"/>
      <c r="B143" s="3"/>
      <c r="C143" s="3"/>
      <c r="D143" s="44"/>
      <c r="E143" s="3"/>
      <c r="F143" s="3"/>
      <c r="G143" s="3"/>
      <c r="H143" s="501"/>
      <c r="I143" s="36"/>
      <c r="J143" s="682" t="s">
        <v>109</v>
      </c>
      <c r="K143" s="502"/>
      <c r="L143" s="667">
        <f>SUM(L132:L140)</f>
        <v>0</v>
      </c>
      <c r="M143" s="495"/>
      <c r="N143" s="668">
        <f>SUM(N132:N140)</f>
        <v>0</v>
      </c>
      <c r="O143" s="495"/>
      <c r="P143" s="668">
        <f>SUM(P132:P140)</f>
        <v>0</v>
      </c>
      <c r="Q143" s="495"/>
      <c r="R143" s="668">
        <f>SUM(R132:R141)</f>
        <v>0</v>
      </c>
      <c r="S143" s="496"/>
      <c r="T143" s="503"/>
    </row>
    <row r="144" spans="1:20" ht="8.25" hidden="1" customHeight="1">
      <c r="A144" s="490"/>
      <c r="B144" s="4"/>
      <c r="C144" s="4"/>
      <c r="D144" s="10"/>
      <c r="E144" s="3"/>
      <c r="F144" s="504"/>
      <c r="G144" s="4"/>
      <c r="H144" s="490"/>
      <c r="I144" s="490"/>
      <c r="J144" s="505"/>
      <c r="K144" s="3"/>
      <c r="L144" s="4"/>
      <c r="M144" s="490"/>
      <c r="N144" s="490"/>
      <c r="O144" s="490"/>
      <c r="P144" s="490"/>
      <c r="Q144" s="490"/>
      <c r="R144" s="490"/>
      <c r="S144" s="491"/>
    </row>
    <row r="145" spans="1:19" s="507" customFormat="1" ht="16.5" hidden="1" customHeight="1" thickBot="1">
      <c r="A145" s="492"/>
      <c r="B145" s="639"/>
      <c r="C145" s="640"/>
      <c r="D145" s="640"/>
      <c r="E145" s="640"/>
      <c r="F145" s="640"/>
      <c r="G145" s="641"/>
      <c r="H145" s="640"/>
      <c r="I145" s="640"/>
      <c r="J145" s="656" t="s">
        <v>43</v>
      </c>
      <c r="K145" s="640"/>
      <c r="L145" s="640"/>
      <c r="M145" s="641"/>
      <c r="N145" s="641"/>
      <c r="O145" s="641"/>
      <c r="P145" s="641"/>
      <c r="Q145" s="641"/>
      <c r="R145" s="642"/>
      <c r="S145" s="506"/>
    </row>
    <row r="146" spans="1:19" ht="13.5" hidden="1" customHeight="1">
      <c r="A146" s="490"/>
      <c r="B146" s="6"/>
      <c r="C146" s="6"/>
      <c r="D146" s="6"/>
      <c r="E146" s="6"/>
      <c r="F146" s="6"/>
      <c r="G146" s="6"/>
      <c r="H146" s="6"/>
      <c r="I146" s="6"/>
      <c r="J146" s="669" t="s">
        <v>81</v>
      </c>
      <c r="K146" s="508"/>
      <c r="L146" s="669" t="s">
        <v>82</v>
      </c>
      <c r="M146" s="490"/>
      <c r="N146" s="490"/>
      <c r="O146" s="490"/>
      <c r="P146" s="490"/>
      <c r="Q146" s="490"/>
      <c r="R146" s="490"/>
      <c r="S146" s="491"/>
    </row>
    <row r="147" spans="1:19" ht="16.5" hidden="1" customHeight="1" thickBot="1">
      <c r="A147" s="490"/>
      <c r="B147" s="100" t="s">
        <v>231</v>
      </c>
      <c r="C147" s="672"/>
      <c r="D147" s="672"/>
      <c r="E147" s="672"/>
      <c r="F147" s="672"/>
      <c r="G147" s="672"/>
      <c r="H147" s="672"/>
      <c r="I147" s="6"/>
      <c r="J147" s="654">
        <f>R126*3%</f>
        <v>0</v>
      </c>
      <c r="K147" s="6"/>
      <c r="L147" s="670">
        <f>J147/12</f>
        <v>0</v>
      </c>
      <c r="M147" s="490"/>
      <c r="N147" s="490"/>
      <c r="O147" s="490"/>
      <c r="P147" s="490"/>
      <c r="Q147" s="490"/>
      <c r="R147" s="490"/>
      <c r="S147" s="491"/>
    </row>
    <row r="148" spans="1:19" ht="3.75" hidden="1" customHeight="1">
      <c r="A148" s="490"/>
      <c r="B148" s="672"/>
      <c r="C148" s="672"/>
      <c r="D148" s="672"/>
      <c r="E148" s="672"/>
      <c r="F148" s="672"/>
      <c r="G148" s="672"/>
      <c r="H148" s="672"/>
      <c r="I148" s="6"/>
      <c r="J148" s="6"/>
      <c r="K148" s="6"/>
      <c r="L148" s="671"/>
      <c r="M148" s="490"/>
      <c r="N148" s="490"/>
      <c r="O148" s="490"/>
      <c r="P148" s="490"/>
      <c r="Q148" s="490"/>
      <c r="R148" s="490"/>
      <c r="S148" s="491"/>
    </row>
    <row r="149" spans="1:19" ht="16.5" hidden="1" customHeight="1" thickBot="1">
      <c r="A149" s="490"/>
      <c r="B149" s="101" t="s">
        <v>77</v>
      </c>
      <c r="C149" s="672"/>
      <c r="D149" s="672"/>
      <c r="E149" s="672"/>
      <c r="F149" s="672"/>
      <c r="G149" s="672"/>
      <c r="H149" s="672"/>
      <c r="I149" s="6"/>
      <c r="J149" s="654"/>
      <c r="K149" s="6"/>
      <c r="L149" s="670">
        <f>J149/12</f>
        <v>0</v>
      </c>
      <c r="M149" s="490"/>
      <c r="N149" s="490"/>
      <c r="O149" s="490"/>
      <c r="P149" s="560" t="s">
        <v>178</v>
      </c>
      <c r="Q149" s="490"/>
      <c r="R149" s="675">
        <f>L147+L149</f>
        <v>0</v>
      </c>
      <c r="S149" s="491"/>
    </row>
    <row r="150" spans="1:19" hidden="1">
      <c r="A150" s="490"/>
      <c r="B150" s="4"/>
      <c r="C150" s="4"/>
      <c r="D150" s="10"/>
      <c r="E150" s="3"/>
      <c r="F150" s="4"/>
      <c r="G150" s="4"/>
      <c r="H150" s="492"/>
      <c r="I150" s="492"/>
      <c r="J150" s="505"/>
      <c r="K150" s="3"/>
      <c r="L150" s="4"/>
      <c r="M150" s="490"/>
      <c r="N150" s="490"/>
      <c r="O150" s="490"/>
      <c r="P150" s="490"/>
      <c r="Q150" s="490"/>
      <c r="R150" s="490"/>
      <c r="S150" s="491"/>
    </row>
    <row r="151" spans="1:19" ht="21.75" hidden="1" customHeight="1" thickBot="1">
      <c r="A151" s="490"/>
      <c r="B151" s="490"/>
      <c r="C151" s="490"/>
      <c r="D151" s="490"/>
      <c r="E151" s="3"/>
      <c r="F151" s="4"/>
      <c r="G151" s="4"/>
      <c r="H151" s="492"/>
      <c r="I151" s="492"/>
      <c r="J151" s="490"/>
      <c r="K151" s="509"/>
      <c r="L151" s="490"/>
      <c r="M151" s="490"/>
      <c r="N151" s="490"/>
      <c r="O151" s="492"/>
      <c r="P151" s="673" t="s">
        <v>44</v>
      </c>
      <c r="Q151" s="643"/>
      <c r="R151" s="674">
        <f>IF(J126&gt;0,R143+R149,0)</f>
        <v>0</v>
      </c>
      <c r="S151" s="491"/>
    </row>
    <row r="152" spans="1:19" hidden="1">
      <c r="B152" s="510"/>
      <c r="C152" s="510"/>
      <c r="D152" s="510"/>
      <c r="E152" s="510"/>
      <c r="F152" s="510"/>
      <c r="G152" s="510"/>
      <c r="H152" s="510"/>
      <c r="I152" s="510"/>
      <c r="J152" s="510"/>
      <c r="K152" s="510"/>
      <c r="L152" s="510"/>
    </row>
    <row r="153" spans="1:19" hidden="1">
      <c r="B153" s="510"/>
      <c r="C153" s="510"/>
      <c r="D153" s="510"/>
      <c r="E153" s="510"/>
      <c r="F153" s="510"/>
      <c r="G153" s="510"/>
      <c r="H153" s="510"/>
      <c r="I153" s="510"/>
      <c r="J153" s="510"/>
      <c r="K153" s="510"/>
      <c r="L153" s="510"/>
    </row>
    <row r="154" spans="1:19" ht="21" hidden="1" customHeight="1" thickBot="1">
      <c r="A154" s="490"/>
      <c r="B154" s="1073" t="s">
        <v>408</v>
      </c>
      <c r="C154" s="1074"/>
      <c r="D154" s="1074"/>
      <c r="E154" s="1074"/>
      <c r="F154" s="1074"/>
      <c r="G154" s="1074"/>
      <c r="H154" s="1074"/>
      <c r="I154" s="1074"/>
      <c r="J154" s="1074"/>
      <c r="K154" s="1074"/>
      <c r="L154" s="1074"/>
      <c r="M154" s="1074"/>
      <c r="N154" s="1074"/>
      <c r="O154" s="1074"/>
      <c r="P154" s="1074"/>
      <c r="Q154" s="1074"/>
      <c r="R154" s="1075"/>
      <c r="S154" s="491"/>
    </row>
    <row r="155" spans="1:19" ht="9" hidden="1" customHeight="1">
      <c r="A155" s="490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490"/>
      <c r="M155" s="490"/>
      <c r="N155" s="490"/>
      <c r="O155" s="490"/>
      <c r="P155" s="490"/>
      <c r="Q155" s="490"/>
      <c r="R155" s="490"/>
      <c r="S155" s="491"/>
    </row>
    <row r="156" spans="1:19" ht="15.75" hidden="1" customHeight="1" thickBot="1">
      <c r="A156" s="490"/>
      <c r="B156" s="676" t="s">
        <v>16</v>
      </c>
      <c r="C156" s="66"/>
      <c r="D156" s="677"/>
      <c r="E156" s="77"/>
      <c r="F156" s="678"/>
      <c r="G156" s="679"/>
      <c r="H156" s="73"/>
      <c r="I156" s="490"/>
      <c r="J156" s="655"/>
      <c r="K156" s="698" t="s">
        <v>20</v>
      </c>
      <c r="L156" s="491"/>
      <c r="N156" s="679"/>
      <c r="O156" s="490"/>
      <c r="P156" s="699" t="s">
        <v>229</v>
      </c>
      <c r="Q156" s="490"/>
      <c r="R156" s="654"/>
      <c r="S156" s="491"/>
    </row>
    <row r="157" spans="1:19" ht="9" hidden="1" customHeight="1">
      <c r="A157" s="490"/>
      <c r="B157" s="3"/>
      <c r="C157" s="3"/>
      <c r="D157" s="8"/>
      <c r="E157" s="18"/>
      <c r="F157" s="492"/>
      <c r="G157" s="3"/>
      <c r="H157" s="492"/>
      <c r="I157" s="492"/>
      <c r="J157" s="493"/>
      <c r="K157" s="490"/>
      <c r="L157" s="494"/>
      <c r="M157" s="490"/>
      <c r="N157" s="490"/>
      <c r="O157" s="490"/>
      <c r="P157" s="490"/>
      <c r="Q157" s="490"/>
      <c r="R157" s="490"/>
      <c r="S157" s="491"/>
    </row>
    <row r="158" spans="1:19" ht="16.5" hidden="1" customHeight="1" thickBot="1">
      <c r="A158" s="490"/>
      <c r="B158" s="657"/>
      <c r="C158" s="656"/>
      <c r="D158" s="656"/>
      <c r="E158" s="656"/>
      <c r="F158" s="656"/>
      <c r="G158" s="538"/>
      <c r="H158" s="656"/>
      <c r="I158" s="656"/>
      <c r="J158" s="656" t="s">
        <v>19</v>
      </c>
      <c r="K158" s="656"/>
      <c r="L158" s="656"/>
      <c r="M158" s="538"/>
      <c r="N158" s="538"/>
      <c r="O158" s="538"/>
      <c r="P158" s="538"/>
      <c r="Q158" s="538"/>
      <c r="R158" s="539"/>
      <c r="S158" s="491"/>
    </row>
    <row r="159" spans="1:19" ht="6.75" hidden="1" customHeight="1">
      <c r="A159" s="490"/>
      <c r="B159" s="3"/>
      <c r="C159" s="3"/>
      <c r="D159" s="3"/>
      <c r="E159" s="3"/>
      <c r="F159" s="4"/>
      <c r="G159" s="4"/>
      <c r="H159" s="4"/>
      <c r="I159" s="4"/>
      <c r="J159" s="4"/>
      <c r="K159" s="3"/>
      <c r="L159" s="490"/>
      <c r="M159" s="490"/>
      <c r="N159" s="490"/>
      <c r="O159" s="490"/>
      <c r="P159" s="490"/>
      <c r="Q159" s="490"/>
      <c r="R159" s="490"/>
      <c r="S159" s="491"/>
    </row>
    <row r="160" spans="1:19" ht="25.5" hidden="1" customHeight="1" thickBot="1">
      <c r="A160" s="490"/>
      <c r="B160" s="658" t="s">
        <v>100</v>
      </c>
      <c r="C160" s="659"/>
      <c r="D160" s="656" t="s">
        <v>65</v>
      </c>
      <c r="E160" s="659"/>
      <c r="F160" s="660" t="s">
        <v>66</v>
      </c>
      <c r="G160" s="660"/>
      <c r="H160" s="659" t="s">
        <v>67</v>
      </c>
      <c r="I160" s="581"/>
      <c r="J160" s="656" t="s">
        <v>64</v>
      </c>
      <c r="K160" s="581"/>
      <c r="L160" s="656" t="s">
        <v>18</v>
      </c>
      <c r="M160" s="538"/>
      <c r="N160" s="656" t="s">
        <v>17</v>
      </c>
      <c r="O160" s="538"/>
      <c r="P160" s="661" t="s">
        <v>85</v>
      </c>
      <c r="Q160" s="538"/>
      <c r="R160" s="662" t="s">
        <v>109</v>
      </c>
      <c r="S160" s="491"/>
    </row>
    <row r="161" spans="1:20" hidden="1">
      <c r="A161" s="490"/>
      <c r="B161" s="43"/>
      <c r="C161" s="43"/>
      <c r="D161" s="6"/>
      <c r="E161" s="43"/>
      <c r="F161" s="6"/>
      <c r="G161" s="6"/>
      <c r="H161" s="43"/>
      <c r="I161" s="3"/>
      <c r="J161" s="6"/>
      <c r="K161" s="3"/>
      <c r="L161" s="4"/>
      <c r="M161" s="490"/>
      <c r="N161" s="490"/>
      <c r="O161" s="490"/>
      <c r="P161" s="490"/>
      <c r="Q161" s="490"/>
      <c r="R161" s="490"/>
      <c r="S161" s="491"/>
    </row>
    <row r="162" spans="1:20" s="497" customFormat="1" ht="14.25" hidden="1" customHeight="1">
      <c r="A162" s="495"/>
      <c r="B162" s="77" t="s">
        <v>75</v>
      </c>
      <c r="C162" s="43"/>
      <c r="D162" s="644">
        <v>4</v>
      </c>
      <c r="E162" s="18"/>
      <c r="F162" s="646" t="s">
        <v>29</v>
      </c>
      <c r="G162" s="43"/>
      <c r="H162" s="650"/>
      <c r="I162" s="3"/>
      <c r="J162" s="653"/>
      <c r="K162" s="3"/>
      <c r="L162" s="663">
        <f>IF(H162&gt;0,(J162*D162)/H162,0)</f>
        <v>0</v>
      </c>
      <c r="M162" s="495"/>
      <c r="N162" s="665">
        <f>L162*J156</f>
        <v>0</v>
      </c>
      <c r="O162" s="495"/>
      <c r="P162" s="665">
        <f>IF(Consolidado_Geral!$G$133=7.6%,-(0.0165+0.076)*N162,0)</f>
        <v>0</v>
      </c>
      <c r="Q162" s="495"/>
      <c r="R162" s="665">
        <f t="shared" ref="R162:R171" si="10">N162+P162</f>
        <v>0</v>
      </c>
      <c r="S162" s="496"/>
    </row>
    <row r="163" spans="1:20" s="497" customFormat="1" ht="14.25" hidden="1" customHeight="1">
      <c r="A163" s="495"/>
      <c r="B163" s="77" t="s">
        <v>74</v>
      </c>
      <c r="C163" s="18"/>
      <c r="D163" s="644">
        <v>1</v>
      </c>
      <c r="E163" s="18"/>
      <c r="F163" s="646" t="s">
        <v>63</v>
      </c>
      <c r="G163" s="43"/>
      <c r="H163" s="651"/>
      <c r="I163" s="3"/>
      <c r="J163" s="653"/>
      <c r="K163" s="3"/>
      <c r="L163" s="663">
        <f>IF(H163&gt;0,(J163/H163),0)</f>
        <v>0</v>
      </c>
      <c r="M163" s="495"/>
      <c r="N163" s="665">
        <f>L163*J156</f>
        <v>0</v>
      </c>
      <c r="O163" s="495"/>
      <c r="P163" s="665">
        <f>IF(Consolidado_Geral!$G$133=7.6%,-(0.0165+0.076)*N163,0)</f>
        <v>0</v>
      </c>
      <c r="Q163" s="495"/>
      <c r="R163" s="665">
        <f t="shared" si="10"/>
        <v>0</v>
      </c>
      <c r="S163" s="496"/>
    </row>
    <row r="164" spans="1:20" s="497" customFormat="1" ht="14.25" hidden="1" customHeight="1">
      <c r="A164" s="495"/>
      <c r="B164" s="77" t="s">
        <v>68</v>
      </c>
      <c r="C164" s="18"/>
      <c r="D164" s="644"/>
      <c r="E164" s="18"/>
      <c r="F164" s="647" t="s">
        <v>63</v>
      </c>
      <c r="G164" s="498"/>
      <c r="H164" s="650"/>
      <c r="I164" s="3"/>
      <c r="J164" s="653"/>
      <c r="K164" s="3"/>
      <c r="L164" s="663">
        <f t="shared" ref="L164:L170" si="11">IF(H164&gt;0,(J164*D164)/H164,0)</f>
        <v>0</v>
      </c>
      <c r="M164" s="495"/>
      <c r="N164" s="665">
        <f>L164*J156</f>
        <v>0</v>
      </c>
      <c r="O164" s="495"/>
      <c r="P164" s="665">
        <f>IF(Consolidado_Geral!$G$133=7.6%,-(0.0165+0.076)*N164,0)</f>
        <v>0</v>
      </c>
      <c r="Q164" s="495"/>
      <c r="R164" s="665">
        <f t="shared" si="10"/>
        <v>0</v>
      </c>
      <c r="S164" s="496"/>
    </row>
    <row r="165" spans="1:20" s="497" customFormat="1" ht="14.25" hidden="1" customHeight="1">
      <c r="A165" s="495"/>
      <c r="B165" s="77" t="s">
        <v>69</v>
      </c>
      <c r="C165" s="18"/>
      <c r="D165" s="644">
        <v>1</v>
      </c>
      <c r="E165" s="18"/>
      <c r="F165" s="647" t="s">
        <v>63</v>
      </c>
      <c r="G165" s="498"/>
      <c r="H165" s="650"/>
      <c r="I165" s="3"/>
      <c r="J165" s="653"/>
      <c r="K165" s="3"/>
      <c r="L165" s="663">
        <f t="shared" si="11"/>
        <v>0</v>
      </c>
      <c r="M165" s="495"/>
      <c r="N165" s="665">
        <f>L165*J156</f>
        <v>0</v>
      </c>
      <c r="O165" s="495"/>
      <c r="P165" s="665">
        <f>IF(Consolidado_Geral!$G$133=7.6%,-(0.0165+0.076)*N165,0)</f>
        <v>0</v>
      </c>
      <c r="Q165" s="495"/>
      <c r="R165" s="665">
        <f t="shared" si="10"/>
        <v>0</v>
      </c>
      <c r="S165" s="496"/>
    </row>
    <row r="166" spans="1:20" s="497" customFormat="1" ht="14.25" hidden="1" customHeight="1">
      <c r="A166" s="495"/>
      <c r="B166" s="77" t="s">
        <v>70</v>
      </c>
      <c r="C166" s="18"/>
      <c r="D166" s="644">
        <v>1</v>
      </c>
      <c r="E166" s="18"/>
      <c r="F166" s="647" t="s">
        <v>63</v>
      </c>
      <c r="G166" s="498"/>
      <c r="H166" s="650"/>
      <c r="I166" s="3"/>
      <c r="J166" s="653"/>
      <c r="K166" s="3"/>
      <c r="L166" s="663">
        <f t="shared" si="11"/>
        <v>0</v>
      </c>
      <c r="M166" s="495"/>
      <c r="N166" s="665">
        <f>L166*J156</f>
        <v>0</v>
      </c>
      <c r="O166" s="495"/>
      <c r="P166" s="665">
        <f>IF(Consolidado_Geral!$G$133=7.6%,-(0.0165+0.076)*N166,0)</f>
        <v>0</v>
      </c>
      <c r="Q166" s="495"/>
      <c r="R166" s="665">
        <f t="shared" si="10"/>
        <v>0</v>
      </c>
      <c r="S166" s="496"/>
    </row>
    <row r="167" spans="1:20" s="497" customFormat="1" ht="14.25" hidden="1" customHeight="1">
      <c r="A167" s="495"/>
      <c r="B167" s="77" t="s">
        <v>71</v>
      </c>
      <c r="C167" s="18"/>
      <c r="D167" s="644">
        <v>1</v>
      </c>
      <c r="E167" s="18"/>
      <c r="F167" s="647" t="s">
        <v>63</v>
      </c>
      <c r="G167" s="498"/>
      <c r="H167" s="650"/>
      <c r="I167" s="3"/>
      <c r="J167" s="653"/>
      <c r="K167" s="3"/>
      <c r="L167" s="663">
        <f t="shared" si="11"/>
        <v>0</v>
      </c>
      <c r="M167" s="495"/>
      <c r="N167" s="665">
        <f>L167*J156</f>
        <v>0</v>
      </c>
      <c r="O167" s="495"/>
      <c r="P167" s="665">
        <f>IF(Consolidado_Geral!$G$133=7.6%,-(0.0165+0.076)*N167,0)</f>
        <v>0</v>
      </c>
      <c r="Q167" s="495"/>
      <c r="R167" s="665">
        <f t="shared" si="10"/>
        <v>0</v>
      </c>
      <c r="S167" s="496"/>
    </row>
    <row r="168" spans="1:20" s="497" customFormat="1" ht="14.25" hidden="1" customHeight="1">
      <c r="A168" s="495"/>
      <c r="B168" s="680" t="s">
        <v>72</v>
      </c>
      <c r="C168" s="499"/>
      <c r="D168" s="644">
        <v>1</v>
      </c>
      <c r="E168" s="499"/>
      <c r="F168" s="648" t="s">
        <v>63</v>
      </c>
      <c r="G168" s="500"/>
      <c r="H168" s="650"/>
      <c r="I168" s="3"/>
      <c r="J168" s="653"/>
      <c r="K168" s="3"/>
      <c r="L168" s="663">
        <f t="shared" si="11"/>
        <v>0</v>
      </c>
      <c r="M168" s="495"/>
      <c r="N168" s="665">
        <f>L168*J156</f>
        <v>0</v>
      </c>
      <c r="O168" s="495"/>
      <c r="P168" s="665">
        <f>IF(Consolidado_Geral!$G$133=7.6%,-(0.0165+0.076)*N168,0)</f>
        <v>0</v>
      </c>
      <c r="Q168" s="495"/>
      <c r="R168" s="665">
        <f t="shared" si="10"/>
        <v>0</v>
      </c>
      <c r="S168" s="496"/>
    </row>
    <row r="169" spans="1:20" s="497" customFormat="1" ht="14.25" hidden="1" customHeight="1">
      <c r="A169" s="495"/>
      <c r="B169" s="77" t="s">
        <v>73</v>
      </c>
      <c r="C169" s="18"/>
      <c r="D169" s="644">
        <v>1</v>
      </c>
      <c r="E169" s="18"/>
      <c r="F169" s="648" t="s">
        <v>29</v>
      </c>
      <c r="G169" s="500"/>
      <c r="H169" s="650"/>
      <c r="I169" s="3"/>
      <c r="J169" s="653"/>
      <c r="K169" s="3"/>
      <c r="L169" s="663">
        <f t="shared" si="11"/>
        <v>0</v>
      </c>
      <c r="M169" s="495"/>
      <c r="N169" s="665">
        <f>L169*J156</f>
        <v>0</v>
      </c>
      <c r="O169" s="495"/>
      <c r="P169" s="665">
        <f>IF(Consolidado_Geral!$G$133=7.6%,-(0.0165+0.076)*N169,0)</f>
        <v>0</v>
      </c>
      <c r="Q169" s="495"/>
      <c r="R169" s="665">
        <f t="shared" si="10"/>
        <v>0</v>
      </c>
      <c r="S169" s="496"/>
    </row>
    <row r="170" spans="1:20" s="497" customFormat="1" ht="14.25" hidden="1" customHeight="1" thickBot="1">
      <c r="A170" s="495"/>
      <c r="B170" s="66" t="s">
        <v>76</v>
      </c>
      <c r="C170" s="3"/>
      <c r="D170" s="645"/>
      <c r="E170" s="3"/>
      <c r="F170" s="649" t="s">
        <v>29</v>
      </c>
      <c r="G170" s="3"/>
      <c r="H170" s="650"/>
      <c r="I170" s="3"/>
      <c r="J170" s="653"/>
      <c r="K170" s="3"/>
      <c r="L170" s="663">
        <f t="shared" si="11"/>
        <v>0</v>
      </c>
      <c r="M170" s="495"/>
      <c r="N170" s="665">
        <f>L170*J156</f>
        <v>0</v>
      </c>
      <c r="O170" s="495"/>
      <c r="P170" s="665">
        <f>IF(Consolidado_Geral!$G$133=7.6%,-(0.0165+0.076)*N170,0)</f>
        <v>0</v>
      </c>
      <c r="Q170" s="495"/>
      <c r="R170" s="665">
        <f t="shared" si="10"/>
        <v>0</v>
      </c>
      <c r="S170" s="496"/>
    </row>
    <row r="171" spans="1:20" ht="14.25" hidden="1" customHeight="1" thickBot="1">
      <c r="A171" s="490"/>
      <c r="B171" s="681" t="s">
        <v>230</v>
      </c>
      <c r="C171" s="3"/>
      <c r="D171" s="497"/>
      <c r="E171" s="3"/>
      <c r="F171" s="500"/>
      <c r="G171" s="3"/>
      <c r="H171" s="652"/>
      <c r="I171" s="3"/>
      <c r="J171" s="553">
        <v>0.01</v>
      </c>
      <c r="K171" s="3"/>
      <c r="L171" s="664">
        <f>IF(H171&gt;0,J171*(R156-(D163*J163))/H171,0)</f>
        <v>0</v>
      </c>
      <c r="M171" s="490"/>
      <c r="N171" s="666">
        <f>L171*J156</f>
        <v>0</v>
      </c>
      <c r="O171" s="490"/>
      <c r="P171" s="666">
        <f>IF(Consolidado_Geral!$G$133=7.6%,-(0.0165+0.076)*N171,0)</f>
        <v>0</v>
      </c>
      <c r="Q171" s="490"/>
      <c r="R171" s="666">
        <f t="shared" si="10"/>
        <v>0</v>
      </c>
      <c r="S171" s="491"/>
    </row>
    <row r="172" spans="1:20" ht="4.5" hidden="1" customHeight="1">
      <c r="A172" s="490"/>
      <c r="B172" s="490"/>
      <c r="C172" s="490"/>
      <c r="D172" s="490"/>
      <c r="E172" s="3"/>
      <c r="F172" s="4"/>
      <c r="G172" s="4"/>
      <c r="H172" s="4"/>
      <c r="I172" s="4"/>
      <c r="J172" s="4"/>
      <c r="K172" s="3"/>
      <c r="L172" s="4"/>
      <c r="M172" s="490"/>
      <c r="N172" s="490"/>
      <c r="O172" s="490"/>
      <c r="P172" s="490"/>
      <c r="Q172" s="490"/>
      <c r="R172" s="490"/>
      <c r="S172" s="491"/>
    </row>
    <row r="173" spans="1:20" s="497" customFormat="1" ht="16.5" hidden="1" customHeight="1" thickBot="1">
      <c r="A173" s="495"/>
      <c r="B173" s="3"/>
      <c r="C173" s="3"/>
      <c r="D173" s="44"/>
      <c r="E173" s="3"/>
      <c r="F173" s="3"/>
      <c r="G173" s="3"/>
      <c r="H173" s="501"/>
      <c r="I173" s="36"/>
      <c r="J173" s="682" t="s">
        <v>109</v>
      </c>
      <c r="K173" s="502"/>
      <c r="L173" s="667">
        <f>SUM(L162:L170)</f>
        <v>0</v>
      </c>
      <c r="M173" s="495"/>
      <c r="N173" s="668">
        <f>SUM(N162:N170)</f>
        <v>0</v>
      </c>
      <c r="O173" s="495"/>
      <c r="P173" s="668">
        <f>SUM(P162:P170)</f>
        <v>0</v>
      </c>
      <c r="Q173" s="495"/>
      <c r="R173" s="668">
        <f>SUM(R162:R171)</f>
        <v>0</v>
      </c>
      <c r="S173" s="496"/>
      <c r="T173" s="503"/>
    </row>
    <row r="174" spans="1:20" ht="8.25" hidden="1" customHeight="1">
      <c r="A174" s="490"/>
      <c r="B174" s="4"/>
      <c r="C174" s="4"/>
      <c r="D174" s="10"/>
      <c r="E174" s="3"/>
      <c r="F174" s="504"/>
      <c r="G174" s="4"/>
      <c r="H174" s="490"/>
      <c r="I174" s="490"/>
      <c r="J174" s="505"/>
      <c r="K174" s="3"/>
      <c r="L174" s="4"/>
      <c r="M174" s="490"/>
      <c r="N174" s="490"/>
      <c r="O174" s="490"/>
      <c r="P174" s="490"/>
      <c r="Q174" s="490"/>
      <c r="R174" s="490"/>
      <c r="S174" s="491"/>
    </row>
    <row r="175" spans="1:20" s="507" customFormat="1" ht="16.5" hidden="1" customHeight="1" thickBot="1">
      <c r="A175" s="492"/>
      <c r="B175" s="639"/>
      <c r="C175" s="640"/>
      <c r="D175" s="640"/>
      <c r="E175" s="640"/>
      <c r="F175" s="640"/>
      <c r="G175" s="641"/>
      <c r="H175" s="640"/>
      <c r="I175" s="640"/>
      <c r="J175" s="656" t="s">
        <v>43</v>
      </c>
      <c r="K175" s="640"/>
      <c r="L175" s="640"/>
      <c r="M175" s="641"/>
      <c r="N175" s="641"/>
      <c r="O175" s="641"/>
      <c r="P175" s="641"/>
      <c r="Q175" s="641"/>
      <c r="R175" s="642"/>
      <c r="S175" s="506"/>
    </row>
    <row r="176" spans="1:20" ht="13.5" hidden="1" customHeight="1">
      <c r="A176" s="490"/>
      <c r="B176" s="6"/>
      <c r="C176" s="6"/>
      <c r="D176" s="6"/>
      <c r="E176" s="6"/>
      <c r="F176" s="6"/>
      <c r="G176" s="6"/>
      <c r="H176" s="6"/>
      <c r="I176" s="6"/>
      <c r="J176" s="669" t="s">
        <v>81</v>
      </c>
      <c r="K176" s="508"/>
      <c r="L176" s="669" t="s">
        <v>82</v>
      </c>
      <c r="M176" s="490"/>
      <c r="N176" s="490"/>
      <c r="O176" s="490"/>
      <c r="P176" s="490"/>
      <c r="Q176" s="490"/>
      <c r="R176" s="490"/>
      <c r="S176" s="491"/>
    </row>
    <row r="177" spans="1:19" ht="16.5" hidden="1" customHeight="1" thickBot="1">
      <c r="A177" s="490"/>
      <c r="B177" s="100" t="s">
        <v>231</v>
      </c>
      <c r="C177" s="672"/>
      <c r="D177" s="672"/>
      <c r="E177" s="672"/>
      <c r="F177" s="672"/>
      <c r="G177" s="672"/>
      <c r="H177" s="672"/>
      <c r="I177" s="6"/>
      <c r="J177" s="654">
        <f>R156*3%</f>
        <v>0</v>
      </c>
      <c r="K177" s="6"/>
      <c r="L177" s="670">
        <f>J177/12</f>
        <v>0</v>
      </c>
      <c r="M177" s="490"/>
      <c r="N177" s="490"/>
      <c r="O177" s="490"/>
      <c r="P177" s="490"/>
      <c r="Q177" s="490"/>
      <c r="R177" s="490"/>
      <c r="S177" s="491"/>
    </row>
    <row r="178" spans="1:19" ht="3.75" hidden="1" customHeight="1">
      <c r="A178" s="490"/>
      <c r="B178" s="672"/>
      <c r="C178" s="672"/>
      <c r="D178" s="672"/>
      <c r="E178" s="672"/>
      <c r="F178" s="672"/>
      <c r="G178" s="672"/>
      <c r="H178" s="672"/>
      <c r="I178" s="6"/>
      <c r="J178" s="6"/>
      <c r="K178" s="6"/>
      <c r="L178" s="671"/>
      <c r="M178" s="490"/>
      <c r="N178" s="490"/>
      <c r="O178" s="490"/>
      <c r="P178" s="490"/>
      <c r="Q178" s="490"/>
      <c r="R178" s="490"/>
      <c r="S178" s="491"/>
    </row>
    <row r="179" spans="1:19" ht="16.5" hidden="1" customHeight="1" thickBot="1">
      <c r="A179" s="490"/>
      <c r="B179" s="101" t="s">
        <v>77</v>
      </c>
      <c r="C179" s="672"/>
      <c r="D179" s="672"/>
      <c r="E179" s="672"/>
      <c r="F179" s="672"/>
      <c r="G179" s="672"/>
      <c r="H179" s="672"/>
      <c r="I179" s="6"/>
      <c r="J179" s="654"/>
      <c r="K179" s="6"/>
      <c r="L179" s="670">
        <f>J179/12</f>
        <v>0</v>
      </c>
      <c r="M179" s="490"/>
      <c r="N179" s="490"/>
      <c r="O179" s="490"/>
      <c r="P179" s="560" t="s">
        <v>178</v>
      </c>
      <c r="Q179" s="490"/>
      <c r="R179" s="675">
        <f>L177+L179</f>
        <v>0</v>
      </c>
      <c r="S179" s="491"/>
    </row>
    <row r="180" spans="1:19" hidden="1">
      <c r="A180" s="490"/>
      <c r="B180" s="4"/>
      <c r="C180" s="4"/>
      <c r="D180" s="10"/>
      <c r="E180" s="3"/>
      <c r="F180" s="4"/>
      <c r="G180" s="4"/>
      <c r="H180" s="492"/>
      <c r="I180" s="492"/>
      <c r="J180" s="505"/>
      <c r="K180" s="3"/>
      <c r="L180" s="4"/>
      <c r="M180" s="490"/>
      <c r="N180" s="490"/>
      <c r="O180" s="490"/>
      <c r="P180" s="490"/>
      <c r="Q180" s="490"/>
      <c r="R180" s="490"/>
      <c r="S180" s="491"/>
    </row>
    <row r="181" spans="1:19" ht="21.75" hidden="1" customHeight="1" thickBot="1">
      <c r="A181" s="490"/>
      <c r="B181" s="490"/>
      <c r="C181" s="490"/>
      <c r="D181" s="490"/>
      <c r="E181" s="3"/>
      <c r="F181" s="4"/>
      <c r="G181" s="4"/>
      <c r="H181" s="492"/>
      <c r="I181" s="492"/>
      <c r="J181" s="490"/>
      <c r="K181" s="509"/>
      <c r="L181" s="490"/>
      <c r="M181" s="490"/>
      <c r="N181" s="490"/>
      <c r="O181" s="492"/>
      <c r="P181" s="673" t="s">
        <v>44</v>
      </c>
      <c r="Q181" s="643"/>
      <c r="R181" s="674">
        <f>IF(J156&gt;0,R173+R179,0)</f>
        <v>0</v>
      </c>
      <c r="S181" s="491"/>
    </row>
    <row r="182" spans="1:19" hidden="1">
      <c r="B182" s="510"/>
      <c r="C182" s="510"/>
      <c r="D182" s="510"/>
      <c r="E182" s="510"/>
      <c r="F182" s="510"/>
      <c r="G182" s="510"/>
      <c r="H182" s="510"/>
      <c r="I182" s="510"/>
      <c r="J182" s="510"/>
      <c r="K182" s="510"/>
      <c r="L182" s="510"/>
    </row>
    <row r="183" spans="1:19" hidden="1">
      <c r="B183" s="510"/>
      <c r="C183" s="510"/>
      <c r="D183" s="510"/>
      <c r="E183" s="510"/>
      <c r="F183" s="510"/>
      <c r="G183" s="510"/>
      <c r="H183" s="510"/>
      <c r="I183" s="510"/>
      <c r="J183" s="510"/>
      <c r="K183" s="510"/>
      <c r="L183" s="510"/>
    </row>
    <row r="184" spans="1:19" ht="21" hidden="1" customHeight="1" thickBot="1">
      <c r="A184" s="490"/>
      <c r="B184" s="1073" t="s">
        <v>408</v>
      </c>
      <c r="C184" s="1074"/>
      <c r="D184" s="1074"/>
      <c r="E184" s="1074"/>
      <c r="F184" s="1074"/>
      <c r="G184" s="1074"/>
      <c r="H184" s="1074"/>
      <c r="I184" s="1074"/>
      <c r="J184" s="1074"/>
      <c r="K184" s="1074"/>
      <c r="L184" s="1074"/>
      <c r="M184" s="1074"/>
      <c r="N184" s="1074"/>
      <c r="O184" s="1074"/>
      <c r="P184" s="1074"/>
      <c r="Q184" s="1074"/>
      <c r="R184" s="1075"/>
      <c r="S184" s="491"/>
    </row>
    <row r="185" spans="1:19" ht="9" hidden="1" customHeight="1">
      <c r="A185" s="490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490"/>
      <c r="M185" s="490"/>
      <c r="N185" s="490"/>
      <c r="O185" s="490"/>
      <c r="P185" s="490"/>
      <c r="Q185" s="490"/>
      <c r="R185" s="490"/>
      <c r="S185" s="491"/>
    </row>
    <row r="186" spans="1:19" ht="15.75" hidden="1" customHeight="1" thickBot="1">
      <c r="A186" s="490"/>
      <c r="B186" s="676" t="s">
        <v>16</v>
      </c>
      <c r="C186" s="66"/>
      <c r="D186" s="677"/>
      <c r="E186" s="77"/>
      <c r="F186" s="678"/>
      <c r="G186" s="679"/>
      <c r="H186" s="73"/>
      <c r="I186" s="490"/>
      <c r="J186" s="655"/>
      <c r="K186" s="698" t="s">
        <v>20</v>
      </c>
      <c r="L186" s="491"/>
      <c r="N186" s="679"/>
      <c r="O186" s="490"/>
      <c r="P186" s="699" t="s">
        <v>229</v>
      </c>
      <c r="Q186" s="490"/>
      <c r="R186" s="654"/>
      <c r="S186" s="491"/>
    </row>
    <row r="187" spans="1:19" ht="9" hidden="1" customHeight="1">
      <c r="A187" s="490"/>
      <c r="B187" s="3"/>
      <c r="C187" s="3"/>
      <c r="D187" s="8"/>
      <c r="E187" s="18"/>
      <c r="F187" s="492"/>
      <c r="G187" s="3"/>
      <c r="H187" s="492"/>
      <c r="I187" s="492"/>
      <c r="J187" s="493"/>
      <c r="K187" s="490"/>
      <c r="L187" s="494"/>
      <c r="M187" s="490"/>
      <c r="N187" s="490"/>
      <c r="O187" s="490"/>
      <c r="P187" s="490"/>
      <c r="Q187" s="490"/>
      <c r="R187" s="490"/>
      <c r="S187" s="491"/>
    </row>
    <row r="188" spans="1:19" ht="16.5" hidden="1" customHeight="1" thickBot="1">
      <c r="A188" s="490"/>
      <c r="B188" s="657"/>
      <c r="C188" s="656"/>
      <c r="D188" s="656"/>
      <c r="E188" s="656"/>
      <c r="F188" s="656"/>
      <c r="G188" s="538"/>
      <c r="H188" s="656"/>
      <c r="I188" s="656"/>
      <c r="J188" s="656" t="s">
        <v>19</v>
      </c>
      <c r="K188" s="656"/>
      <c r="L188" s="656"/>
      <c r="M188" s="538"/>
      <c r="N188" s="538"/>
      <c r="O188" s="538"/>
      <c r="P188" s="538"/>
      <c r="Q188" s="538"/>
      <c r="R188" s="539"/>
      <c r="S188" s="491"/>
    </row>
    <row r="189" spans="1:19" ht="6.75" hidden="1" customHeight="1">
      <c r="A189" s="490"/>
      <c r="B189" s="3"/>
      <c r="C189" s="3"/>
      <c r="D189" s="3"/>
      <c r="E189" s="3"/>
      <c r="F189" s="4"/>
      <c r="G189" s="4"/>
      <c r="H189" s="4"/>
      <c r="I189" s="4"/>
      <c r="J189" s="4"/>
      <c r="K189" s="3"/>
      <c r="L189" s="490"/>
      <c r="M189" s="490"/>
      <c r="N189" s="490"/>
      <c r="O189" s="490"/>
      <c r="P189" s="490"/>
      <c r="Q189" s="490"/>
      <c r="R189" s="490"/>
      <c r="S189" s="491"/>
    </row>
    <row r="190" spans="1:19" ht="25.5" hidden="1" customHeight="1" thickBot="1">
      <c r="A190" s="490"/>
      <c r="B190" s="658" t="s">
        <v>100</v>
      </c>
      <c r="C190" s="659"/>
      <c r="D190" s="656" t="s">
        <v>65</v>
      </c>
      <c r="E190" s="659"/>
      <c r="F190" s="660" t="s">
        <v>66</v>
      </c>
      <c r="G190" s="660"/>
      <c r="H190" s="659" t="s">
        <v>67</v>
      </c>
      <c r="I190" s="581"/>
      <c r="J190" s="656" t="s">
        <v>64</v>
      </c>
      <c r="K190" s="581"/>
      <c r="L190" s="656" t="s">
        <v>18</v>
      </c>
      <c r="M190" s="538"/>
      <c r="N190" s="656" t="s">
        <v>17</v>
      </c>
      <c r="O190" s="538"/>
      <c r="P190" s="661" t="s">
        <v>85</v>
      </c>
      <c r="Q190" s="538"/>
      <c r="R190" s="662" t="s">
        <v>109</v>
      </c>
      <c r="S190" s="491"/>
    </row>
    <row r="191" spans="1:19" hidden="1">
      <c r="A191" s="490"/>
      <c r="B191" s="43"/>
      <c r="C191" s="43"/>
      <c r="D191" s="6"/>
      <c r="E191" s="43"/>
      <c r="F191" s="6"/>
      <c r="G191" s="6"/>
      <c r="H191" s="43"/>
      <c r="I191" s="3"/>
      <c r="J191" s="6"/>
      <c r="K191" s="3"/>
      <c r="L191" s="4"/>
      <c r="M191" s="490"/>
      <c r="N191" s="490"/>
      <c r="O191" s="490"/>
      <c r="P191" s="490"/>
      <c r="Q191" s="490"/>
      <c r="R191" s="490"/>
      <c r="S191" s="491"/>
    </row>
    <row r="192" spans="1:19" s="497" customFormat="1" ht="14.25" hidden="1" customHeight="1">
      <c r="A192" s="495"/>
      <c r="B192" s="77" t="s">
        <v>75</v>
      </c>
      <c r="C192" s="43"/>
      <c r="D192" s="644">
        <v>4</v>
      </c>
      <c r="E192" s="18"/>
      <c r="F192" s="646" t="s">
        <v>29</v>
      </c>
      <c r="G192" s="43"/>
      <c r="H192" s="650"/>
      <c r="I192" s="3"/>
      <c r="J192" s="653"/>
      <c r="K192" s="3"/>
      <c r="L192" s="663">
        <f>IF(H192&gt;0,(J192*D192)/H192,0)</f>
        <v>0</v>
      </c>
      <c r="M192" s="495"/>
      <c r="N192" s="665">
        <f>L192*J186</f>
        <v>0</v>
      </c>
      <c r="O192" s="495"/>
      <c r="P192" s="665">
        <f>IF(Consolidado_Geral!$G$133=7.6%,-(0.0165+0.076)*N192,0)</f>
        <v>0</v>
      </c>
      <c r="Q192" s="495"/>
      <c r="R192" s="665">
        <f t="shared" ref="R192:R201" si="12">N192+P192</f>
        <v>0</v>
      </c>
      <c r="S192" s="496"/>
    </row>
    <row r="193" spans="1:20" s="497" customFormat="1" ht="14.25" hidden="1" customHeight="1">
      <c r="A193" s="495"/>
      <c r="B193" s="77" t="s">
        <v>74</v>
      </c>
      <c r="C193" s="18"/>
      <c r="D193" s="644">
        <v>1</v>
      </c>
      <c r="E193" s="18"/>
      <c r="F193" s="646" t="s">
        <v>63</v>
      </c>
      <c r="G193" s="43"/>
      <c r="H193" s="651"/>
      <c r="I193" s="3"/>
      <c r="J193" s="653"/>
      <c r="K193" s="3"/>
      <c r="L193" s="663">
        <f>IF(H193&gt;0,(J193/H193),0)</f>
        <v>0</v>
      </c>
      <c r="M193" s="495"/>
      <c r="N193" s="665">
        <f>L193*J186</f>
        <v>0</v>
      </c>
      <c r="O193" s="495"/>
      <c r="P193" s="665">
        <f>IF(Consolidado_Geral!$G$133=7.6%,-(0.0165+0.076)*N193,0)</f>
        <v>0</v>
      </c>
      <c r="Q193" s="495"/>
      <c r="R193" s="665">
        <f t="shared" si="12"/>
        <v>0</v>
      </c>
      <c r="S193" s="496"/>
    </row>
    <row r="194" spans="1:20" s="497" customFormat="1" ht="14.25" hidden="1" customHeight="1">
      <c r="A194" s="495"/>
      <c r="B194" s="77" t="s">
        <v>68</v>
      </c>
      <c r="C194" s="18"/>
      <c r="D194" s="644"/>
      <c r="E194" s="18"/>
      <c r="F194" s="647" t="s">
        <v>63</v>
      </c>
      <c r="G194" s="498"/>
      <c r="H194" s="650"/>
      <c r="I194" s="3"/>
      <c r="J194" s="653"/>
      <c r="K194" s="3"/>
      <c r="L194" s="663">
        <f t="shared" ref="L194:L200" si="13">IF(H194&gt;0,(J194*D194)/H194,0)</f>
        <v>0</v>
      </c>
      <c r="M194" s="495"/>
      <c r="N194" s="665">
        <f>L194*J186</f>
        <v>0</v>
      </c>
      <c r="O194" s="495"/>
      <c r="P194" s="665">
        <f>IF(Consolidado_Geral!$G$133=7.6%,-(0.0165+0.076)*N194,0)</f>
        <v>0</v>
      </c>
      <c r="Q194" s="495"/>
      <c r="R194" s="665">
        <f t="shared" si="12"/>
        <v>0</v>
      </c>
      <c r="S194" s="496"/>
    </row>
    <row r="195" spans="1:20" s="497" customFormat="1" ht="14.25" hidden="1" customHeight="1">
      <c r="A195" s="495"/>
      <c r="B195" s="77" t="s">
        <v>69</v>
      </c>
      <c r="C195" s="18"/>
      <c r="D195" s="644">
        <v>1</v>
      </c>
      <c r="E195" s="18"/>
      <c r="F195" s="647" t="s">
        <v>63</v>
      </c>
      <c r="G195" s="498"/>
      <c r="H195" s="650"/>
      <c r="I195" s="3"/>
      <c r="J195" s="653"/>
      <c r="K195" s="3"/>
      <c r="L195" s="663">
        <f t="shared" si="13"/>
        <v>0</v>
      </c>
      <c r="M195" s="495"/>
      <c r="N195" s="665">
        <f>L195*J186</f>
        <v>0</v>
      </c>
      <c r="O195" s="495"/>
      <c r="P195" s="665">
        <f>IF(Consolidado_Geral!$G$133=7.6%,-(0.0165+0.076)*N195,0)</f>
        <v>0</v>
      </c>
      <c r="Q195" s="495"/>
      <c r="R195" s="665">
        <f t="shared" si="12"/>
        <v>0</v>
      </c>
      <c r="S195" s="496"/>
    </row>
    <row r="196" spans="1:20" s="497" customFormat="1" ht="14.25" hidden="1" customHeight="1">
      <c r="A196" s="495"/>
      <c r="B196" s="77" t="s">
        <v>70</v>
      </c>
      <c r="C196" s="18"/>
      <c r="D196" s="644">
        <v>1</v>
      </c>
      <c r="E196" s="18"/>
      <c r="F196" s="647" t="s">
        <v>63</v>
      </c>
      <c r="G196" s="498"/>
      <c r="H196" s="650"/>
      <c r="I196" s="3"/>
      <c r="J196" s="653"/>
      <c r="K196" s="3"/>
      <c r="L196" s="663">
        <f t="shared" si="13"/>
        <v>0</v>
      </c>
      <c r="M196" s="495"/>
      <c r="N196" s="665">
        <f>L196*J186</f>
        <v>0</v>
      </c>
      <c r="O196" s="495"/>
      <c r="P196" s="665">
        <f>IF(Consolidado_Geral!$G$133=7.6%,-(0.0165+0.076)*N196,0)</f>
        <v>0</v>
      </c>
      <c r="Q196" s="495"/>
      <c r="R196" s="665">
        <f t="shared" si="12"/>
        <v>0</v>
      </c>
      <c r="S196" s="496"/>
    </row>
    <row r="197" spans="1:20" s="497" customFormat="1" ht="14.25" hidden="1" customHeight="1">
      <c r="A197" s="495"/>
      <c r="B197" s="77" t="s">
        <v>71</v>
      </c>
      <c r="C197" s="18"/>
      <c r="D197" s="644">
        <v>1</v>
      </c>
      <c r="E197" s="18"/>
      <c r="F197" s="647" t="s">
        <v>63</v>
      </c>
      <c r="G197" s="498"/>
      <c r="H197" s="650"/>
      <c r="I197" s="3"/>
      <c r="J197" s="653"/>
      <c r="K197" s="3"/>
      <c r="L197" s="663">
        <f t="shared" si="13"/>
        <v>0</v>
      </c>
      <c r="M197" s="495"/>
      <c r="N197" s="665">
        <f>L197*J186</f>
        <v>0</v>
      </c>
      <c r="O197" s="495"/>
      <c r="P197" s="665">
        <f>IF(Consolidado_Geral!$G$133=7.6%,-(0.0165+0.076)*N197,0)</f>
        <v>0</v>
      </c>
      <c r="Q197" s="495"/>
      <c r="R197" s="665">
        <f t="shared" si="12"/>
        <v>0</v>
      </c>
      <c r="S197" s="496"/>
    </row>
    <row r="198" spans="1:20" s="497" customFormat="1" ht="14.25" hidden="1" customHeight="1">
      <c r="A198" s="495"/>
      <c r="B198" s="680" t="s">
        <v>72</v>
      </c>
      <c r="C198" s="499"/>
      <c r="D198" s="644">
        <v>1</v>
      </c>
      <c r="E198" s="499"/>
      <c r="F198" s="648" t="s">
        <v>63</v>
      </c>
      <c r="G198" s="500"/>
      <c r="H198" s="650"/>
      <c r="I198" s="3"/>
      <c r="J198" s="653"/>
      <c r="K198" s="3"/>
      <c r="L198" s="663">
        <f t="shared" si="13"/>
        <v>0</v>
      </c>
      <c r="M198" s="495"/>
      <c r="N198" s="665">
        <f>L198*J186</f>
        <v>0</v>
      </c>
      <c r="O198" s="495"/>
      <c r="P198" s="665">
        <f>IF(Consolidado_Geral!$G$133=7.6%,-(0.0165+0.076)*N198,0)</f>
        <v>0</v>
      </c>
      <c r="Q198" s="495"/>
      <c r="R198" s="665">
        <f t="shared" si="12"/>
        <v>0</v>
      </c>
      <c r="S198" s="496"/>
    </row>
    <row r="199" spans="1:20" s="497" customFormat="1" ht="14.25" hidden="1" customHeight="1">
      <c r="A199" s="495"/>
      <c r="B199" s="77" t="s">
        <v>73</v>
      </c>
      <c r="C199" s="18"/>
      <c r="D199" s="644">
        <v>1</v>
      </c>
      <c r="E199" s="18"/>
      <c r="F199" s="648" t="s">
        <v>29</v>
      </c>
      <c r="G199" s="500"/>
      <c r="H199" s="650"/>
      <c r="I199" s="3"/>
      <c r="J199" s="653"/>
      <c r="K199" s="3"/>
      <c r="L199" s="663">
        <f t="shared" si="13"/>
        <v>0</v>
      </c>
      <c r="M199" s="495"/>
      <c r="N199" s="665">
        <f>L199*J186</f>
        <v>0</v>
      </c>
      <c r="O199" s="495"/>
      <c r="P199" s="665">
        <f>IF(Consolidado_Geral!$G$133=7.6%,-(0.0165+0.076)*N199,0)</f>
        <v>0</v>
      </c>
      <c r="Q199" s="495"/>
      <c r="R199" s="665">
        <f t="shared" si="12"/>
        <v>0</v>
      </c>
      <c r="S199" s="496"/>
    </row>
    <row r="200" spans="1:20" s="497" customFormat="1" ht="14.25" hidden="1" customHeight="1" thickBot="1">
      <c r="A200" s="495"/>
      <c r="B200" s="66" t="s">
        <v>76</v>
      </c>
      <c r="C200" s="3"/>
      <c r="D200" s="645"/>
      <c r="E200" s="3"/>
      <c r="F200" s="649" t="s">
        <v>29</v>
      </c>
      <c r="G200" s="3"/>
      <c r="H200" s="650"/>
      <c r="I200" s="3"/>
      <c r="J200" s="653"/>
      <c r="K200" s="3"/>
      <c r="L200" s="663">
        <f t="shared" si="13"/>
        <v>0</v>
      </c>
      <c r="M200" s="495"/>
      <c r="N200" s="665">
        <f>L200*J186</f>
        <v>0</v>
      </c>
      <c r="O200" s="495"/>
      <c r="P200" s="665">
        <f>IF(Consolidado_Geral!$G$133=7.6%,-(0.0165+0.076)*N200,0)</f>
        <v>0</v>
      </c>
      <c r="Q200" s="495"/>
      <c r="R200" s="665">
        <f t="shared" si="12"/>
        <v>0</v>
      </c>
      <c r="S200" s="496"/>
    </row>
    <row r="201" spans="1:20" ht="14.25" hidden="1" customHeight="1" thickBot="1">
      <c r="A201" s="490"/>
      <c r="B201" s="681" t="s">
        <v>230</v>
      </c>
      <c r="C201" s="3"/>
      <c r="D201" s="497"/>
      <c r="E201" s="3"/>
      <c r="F201" s="500"/>
      <c r="G201" s="3"/>
      <c r="H201" s="652"/>
      <c r="I201" s="3"/>
      <c r="J201" s="553">
        <v>0.01</v>
      </c>
      <c r="K201" s="3"/>
      <c r="L201" s="664">
        <f>IF(H201&gt;0,J201*(R186-(D193*J193))/H201,0)</f>
        <v>0</v>
      </c>
      <c r="M201" s="490"/>
      <c r="N201" s="666">
        <f>L201*J186</f>
        <v>0</v>
      </c>
      <c r="O201" s="490"/>
      <c r="P201" s="666">
        <f>IF(Consolidado_Geral!$G$133=7.6%,-(0.0165+0.076)*N201,0)</f>
        <v>0</v>
      </c>
      <c r="Q201" s="490"/>
      <c r="R201" s="666">
        <f t="shared" si="12"/>
        <v>0</v>
      </c>
      <c r="S201" s="491"/>
    </row>
    <row r="202" spans="1:20" ht="4.5" hidden="1" customHeight="1">
      <c r="A202" s="490"/>
      <c r="B202" s="490"/>
      <c r="C202" s="490"/>
      <c r="D202" s="490"/>
      <c r="E202" s="3"/>
      <c r="F202" s="4"/>
      <c r="G202" s="4"/>
      <c r="H202" s="4"/>
      <c r="I202" s="4"/>
      <c r="J202" s="4"/>
      <c r="K202" s="3"/>
      <c r="L202" s="4"/>
      <c r="M202" s="490"/>
      <c r="N202" s="490"/>
      <c r="O202" s="490"/>
      <c r="P202" s="490"/>
      <c r="Q202" s="490"/>
      <c r="R202" s="490"/>
      <c r="S202" s="491"/>
    </row>
    <row r="203" spans="1:20" s="497" customFormat="1" ht="16.5" hidden="1" customHeight="1" thickBot="1">
      <c r="A203" s="495"/>
      <c r="B203" s="3"/>
      <c r="C203" s="3"/>
      <c r="D203" s="44"/>
      <c r="E203" s="3"/>
      <c r="F203" s="3"/>
      <c r="G203" s="3"/>
      <c r="H203" s="501"/>
      <c r="I203" s="36"/>
      <c r="J203" s="682" t="s">
        <v>109</v>
      </c>
      <c r="K203" s="502"/>
      <c r="L203" s="667">
        <f>SUM(L192:L200)</f>
        <v>0</v>
      </c>
      <c r="M203" s="495"/>
      <c r="N203" s="668">
        <f>SUM(N192:N200)</f>
        <v>0</v>
      </c>
      <c r="O203" s="495"/>
      <c r="P203" s="668">
        <f>SUM(P192:P200)</f>
        <v>0</v>
      </c>
      <c r="Q203" s="495"/>
      <c r="R203" s="668">
        <f>SUM(R192:R201)</f>
        <v>0</v>
      </c>
      <c r="S203" s="496"/>
      <c r="T203" s="503"/>
    </row>
    <row r="204" spans="1:20" ht="8.25" hidden="1" customHeight="1">
      <c r="A204" s="490"/>
      <c r="B204" s="4"/>
      <c r="C204" s="4"/>
      <c r="D204" s="10"/>
      <c r="E204" s="3"/>
      <c r="F204" s="504"/>
      <c r="G204" s="4"/>
      <c r="H204" s="490"/>
      <c r="I204" s="490"/>
      <c r="J204" s="505"/>
      <c r="K204" s="3"/>
      <c r="L204" s="4"/>
      <c r="M204" s="490"/>
      <c r="N204" s="490"/>
      <c r="O204" s="490"/>
      <c r="P204" s="490"/>
      <c r="Q204" s="490"/>
      <c r="R204" s="490"/>
      <c r="S204" s="491"/>
    </row>
    <row r="205" spans="1:20" s="507" customFormat="1" ht="16.5" hidden="1" customHeight="1" thickBot="1">
      <c r="A205" s="492"/>
      <c r="B205" s="639"/>
      <c r="C205" s="640"/>
      <c r="D205" s="640"/>
      <c r="E205" s="640"/>
      <c r="F205" s="640"/>
      <c r="G205" s="641"/>
      <c r="H205" s="640"/>
      <c r="I205" s="640"/>
      <c r="J205" s="656" t="s">
        <v>43</v>
      </c>
      <c r="K205" s="640"/>
      <c r="L205" s="640"/>
      <c r="M205" s="641"/>
      <c r="N205" s="641"/>
      <c r="O205" s="641"/>
      <c r="P205" s="641"/>
      <c r="Q205" s="641"/>
      <c r="R205" s="642"/>
      <c r="S205" s="506"/>
    </row>
    <row r="206" spans="1:20" ht="13.5" hidden="1" customHeight="1">
      <c r="A206" s="490"/>
      <c r="B206" s="6"/>
      <c r="C206" s="6"/>
      <c r="D206" s="6"/>
      <c r="E206" s="6"/>
      <c r="F206" s="6"/>
      <c r="G206" s="6"/>
      <c r="H206" s="6"/>
      <c r="I206" s="6"/>
      <c r="J206" s="669" t="s">
        <v>81</v>
      </c>
      <c r="K206" s="508"/>
      <c r="L206" s="669" t="s">
        <v>82</v>
      </c>
      <c r="M206" s="490"/>
      <c r="N206" s="490"/>
      <c r="O206" s="490"/>
      <c r="P206" s="490"/>
      <c r="Q206" s="490"/>
      <c r="R206" s="490"/>
      <c r="S206" s="491"/>
    </row>
    <row r="207" spans="1:20" ht="16.5" hidden="1" customHeight="1" thickBot="1">
      <c r="A207" s="490"/>
      <c r="B207" s="100" t="s">
        <v>231</v>
      </c>
      <c r="C207" s="672"/>
      <c r="D207" s="672"/>
      <c r="E207" s="672"/>
      <c r="F207" s="672"/>
      <c r="G207" s="672"/>
      <c r="H207" s="672"/>
      <c r="I207" s="6"/>
      <c r="J207" s="654">
        <f>R186*3%</f>
        <v>0</v>
      </c>
      <c r="K207" s="6"/>
      <c r="L207" s="670">
        <f>J207/12</f>
        <v>0</v>
      </c>
      <c r="M207" s="490"/>
      <c r="N207" s="490"/>
      <c r="O207" s="490"/>
      <c r="P207" s="490"/>
      <c r="Q207" s="490"/>
      <c r="R207" s="490"/>
      <c r="S207" s="491"/>
    </row>
    <row r="208" spans="1:20" ht="3.75" hidden="1" customHeight="1">
      <c r="A208" s="490"/>
      <c r="B208" s="672"/>
      <c r="C208" s="672"/>
      <c r="D208" s="672"/>
      <c r="E208" s="672"/>
      <c r="F208" s="672"/>
      <c r="G208" s="672"/>
      <c r="H208" s="672"/>
      <c r="I208" s="6"/>
      <c r="J208" s="6"/>
      <c r="K208" s="6"/>
      <c r="L208" s="671"/>
      <c r="M208" s="490"/>
      <c r="N208" s="490"/>
      <c r="O208" s="490"/>
      <c r="P208" s="490"/>
      <c r="Q208" s="490"/>
      <c r="R208" s="490"/>
      <c r="S208" s="491"/>
    </row>
    <row r="209" spans="1:19" ht="16.5" hidden="1" customHeight="1" thickBot="1">
      <c r="A209" s="490"/>
      <c r="B209" s="101" t="s">
        <v>77</v>
      </c>
      <c r="C209" s="672"/>
      <c r="D209" s="672"/>
      <c r="E209" s="672"/>
      <c r="F209" s="672"/>
      <c r="G209" s="672"/>
      <c r="H209" s="672"/>
      <c r="I209" s="6"/>
      <c r="J209" s="654"/>
      <c r="K209" s="6"/>
      <c r="L209" s="670">
        <f>J209/12</f>
        <v>0</v>
      </c>
      <c r="M209" s="490"/>
      <c r="N209" s="490"/>
      <c r="O209" s="490"/>
      <c r="P209" s="560" t="s">
        <v>178</v>
      </c>
      <c r="Q209" s="490"/>
      <c r="R209" s="675">
        <f>L207+L209</f>
        <v>0</v>
      </c>
      <c r="S209" s="491"/>
    </row>
    <row r="210" spans="1:19" hidden="1">
      <c r="A210" s="490"/>
      <c r="B210" s="4"/>
      <c r="C210" s="4"/>
      <c r="D210" s="10"/>
      <c r="E210" s="3"/>
      <c r="F210" s="4"/>
      <c r="G210" s="4"/>
      <c r="H210" s="492"/>
      <c r="I210" s="492"/>
      <c r="J210" s="505"/>
      <c r="K210" s="3"/>
      <c r="L210" s="4"/>
      <c r="M210" s="490"/>
      <c r="N210" s="490"/>
      <c r="O210" s="490"/>
      <c r="P210" s="490"/>
      <c r="Q210" s="490"/>
      <c r="R210" s="490"/>
      <c r="S210" s="491"/>
    </row>
    <row r="211" spans="1:19" ht="21.75" hidden="1" customHeight="1" thickBot="1">
      <c r="A211" s="490"/>
      <c r="B211" s="490"/>
      <c r="C211" s="490"/>
      <c r="D211" s="490"/>
      <c r="E211" s="3"/>
      <c r="F211" s="4"/>
      <c r="G211" s="4"/>
      <c r="H211" s="492"/>
      <c r="I211" s="492"/>
      <c r="J211" s="490"/>
      <c r="K211" s="509"/>
      <c r="L211" s="490"/>
      <c r="M211" s="490"/>
      <c r="N211" s="490"/>
      <c r="O211" s="492"/>
      <c r="P211" s="673" t="s">
        <v>44</v>
      </c>
      <c r="Q211" s="643"/>
      <c r="R211" s="674">
        <f>IF(J186&gt;0,R203+R209,0)</f>
        <v>0</v>
      </c>
      <c r="S211" s="491"/>
    </row>
    <row r="212" spans="1:19" hidden="1">
      <c r="B212" s="510"/>
      <c r="C212" s="510"/>
      <c r="D212" s="510"/>
      <c r="E212" s="510"/>
      <c r="F212" s="510"/>
      <c r="G212" s="510"/>
      <c r="H212" s="510"/>
      <c r="I212" s="510"/>
      <c r="J212" s="510"/>
      <c r="K212" s="510"/>
      <c r="L212" s="510"/>
    </row>
    <row r="213" spans="1:19" hidden="1">
      <c r="B213" s="510"/>
      <c r="C213" s="510"/>
      <c r="D213" s="510"/>
      <c r="E213" s="510"/>
      <c r="F213" s="510"/>
      <c r="G213" s="510"/>
      <c r="H213" s="510"/>
      <c r="I213" s="510"/>
      <c r="J213" s="510"/>
      <c r="K213" s="510"/>
      <c r="L213" s="510"/>
    </row>
    <row r="214" spans="1:19" ht="21" hidden="1" customHeight="1" thickBot="1">
      <c r="A214" s="490"/>
      <c r="B214" s="1073" t="s">
        <v>408</v>
      </c>
      <c r="C214" s="1074"/>
      <c r="D214" s="1074"/>
      <c r="E214" s="1074"/>
      <c r="F214" s="1074"/>
      <c r="G214" s="1074"/>
      <c r="H214" s="1074"/>
      <c r="I214" s="1074"/>
      <c r="J214" s="1074"/>
      <c r="K214" s="1074"/>
      <c r="L214" s="1074"/>
      <c r="M214" s="1074"/>
      <c r="N214" s="1074"/>
      <c r="O214" s="1074"/>
      <c r="P214" s="1074"/>
      <c r="Q214" s="1074"/>
      <c r="R214" s="1075"/>
      <c r="S214" s="491"/>
    </row>
    <row r="215" spans="1:19" ht="9" hidden="1" customHeight="1">
      <c r="A215" s="490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490"/>
      <c r="M215" s="490"/>
      <c r="N215" s="490"/>
      <c r="O215" s="490"/>
      <c r="P215" s="490"/>
      <c r="Q215" s="490"/>
      <c r="R215" s="490"/>
      <c r="S215" s="491"/>
    </row>
    <row r="216" spans="1:19" ht="15.75" hidden="1" customHeight="1" thickBot="1">
      <c r="A216" s="490"/>
      <c r="B216" s="676" t="s">
        <v>16</v>
      </c>
      <c r="C216" s="66"/>
      <c r="D216" s="677"/>
      <c r="E216" s="77"/>
      <c r="F216" s="678"/>
      <c r="G216" s="679"/>
      <c r="H216" s="73"/>
      <c r="I216" s="490"/>
      <c r="J216" s="655"/>
      <c r="K216" s="698" t="s">
        <v>20</v>
      </c>
      <c r="L216" s="491"/>
      <c r="N216" s="679"/>
      <c r="O216" s="490"/>
      <c r="P216" s="699" t="s">
        <v>229</v>
      </c>
      <c r="Q216" s="490"/>
      <c r="R216" s="654"/>
      <c r="S216" s="491"/>
    </row>
    <row r="217" spans="1:19" ht="9" hidden="1" customHeight="1">
      <c r="A217" s="490"/>
      <c r="B217" s="3"/>
      <c r="C217" s="3"/>
      <c r="D217" s="8"/>
      <c r="E217" s="18"/>
      <c r="F217" s="492"/>
      <c r="G217" s="3"/>
      <c r="H217" s="492"/>
      <c r="I217" s="492"/>
      <c r="J217" s="493"/>
      <c r="K217" s="490"/>
      <c r="L217" s="494"/>
      <c r="M217" s="490"/>
      <c r="N217" s="490"/>
      <c r="O217" s="490"/>
      <c r="P217" s="490"/>
      <c r="Q217" s="490"/>
      <c r="R217" s="490"/>
      <c r="S217" s="491"/>
    </row>
    <row r="218" spans="1:19" ht="16.5" hidden="1" customHeight="1" thickBot="1">
      <c r="A218" s="490"/>
      <c r="B218" s="657"/>
      <c r="C218" s="656"/>
      <c r="D218" s="656"/>
      <c r="E218" s="656"/>
      <c r="F218" s="656"/>
      <c r="G218" s="538"/>
      <c r="H218" s="656"/>
      <c r="I218" s="656"/>
      <c r="J218" s="656" t="s">
        <v>19</v>
      </c>
      <c r="K218" s="656"/>
      <c r="L218" s="656"/>
      <c r="M218" s="538"/>
      <c r="N218" s="538"/>
      <c r="O218" s="538"/>
      <c r="P218" s="538"/>
      <c r="Q218" s="538"/>
      <c r="R218" s="539"/>
      <c r="S218" s="491"/>
    </row>
    <row r="219" spans="1:19" ht="6.75" hidden="1" customHeight="1">
      <c r="A219" s="490"/>
      <c r="B219" s="3"/>
      <c r="C219" s="3"/>
      <c r="D219" s="3"/>
      <c r="E219" s="3"/>
      <c r="F219" s="4"/>
      <c r="G219" s="4"/>
      <c r="H219" s="4"/>
      <c r="I219" s="4"/>
      <c r="J219" s="4"/>
      <c r="K219" s="3"/>
      <c r="L219" s="490"/>
      <c r="M219" s="490"/>
      <c r="N219" s="490"/>
      <c r="O219" s="490"/>
      <c r="P219" s="490"/>
      <c r="Q219" s="490"/>
      <c r="R219" s="490"/>
      <c r="S219" s="491"/>
    </row>
    <row r="220" spans="1:19" ht="25.5" hidden="1" customHeight="1" thickBot="1">
      <c r="A220" s="490"/>
      <c r="B220" s="658" t="s">
        <v>100</v>
      </c>
      <c r="C220" s="659"/>
      <c r="D220" s="656" t="s">
        <v>65</v>
      </c>
      <c r="E220" s="659"/>
      <c r="F220" s="660" t="s">
        <v>66</v>
      </c>
      <c r="G220" s="660"/>
      <c r="H220" s="659" t="s">
        <v>67</v>
      </c>
      <c r="I220" s="581"/>
      <c r="J220" s="656" t="s">
        <v>64</v>
      </c>
      <c r="K220" s="581"/>
      <c r="L220" s="656" t="s">
        <v>18</v>
      </c>
      <c r="M220" s="538"/>
      <c r="N220" s="656" t="s">
        <v>17</v>
      </c>
      <c r="O220" s="538"/>
      <c r="P220" s="661" t="s">
        <v>85</v>
      </c>
      <c r="Q220" s="538"/>
      <c r="R220" s="662" t="s">
        <v>109</v>
      </c>
      <c r="S220" s="491"/>
    </row>
    <row r="221" spans="1:19" hidden="1">
      <c r="A221" s="490"/>
      <c r="B221" s="43"/>
      <c r="C221" s="43"/>
      <c r="D221" s="6"/>
      <c r="E221" s="43"/>
      <c r="F221" s="6"/>
      <c r="G221" s="6"/>
      <c r="H221" s="43"/>
      <c r="I221" s="3"/>
      <c r="J221" s="6"/>
      <c r="K221" s="3"/>
      <c r="L221" s="4"/>
      <c r="M221" s="490"/>
      <c r="N221" s="490"/>
      <c r="O221" s="490"/>
      <c r="P221" s="490"/>
      <c r="Q221" s="490"/>
      <c r="R221" s="490"/>
      <c r="S221" s="491"/>
    </row>
    <row r="222" spans="1:19" s="497" customFormat="1" ht="14.25" hidden="1" customHeight="1">
      <c r="A222" s="495"/>
      <c r="B222" s="77" t="s">
        <v>75</v>
      </c>
      <c r="C222" s="43"/>
      <c r="D222" s="644">
        <v>4</v>
      </c>
      <c r="E222" s="18"/>
      <c r="F222" s="646" t="s">
        <v>29</v>
      </c>
      <c r="G222" s="43"/>
      <c r="H222" s="650"/>
      <c r="I222" s="3"/>
      <c r="J222" s="653"/>
      <c r="K222" s="3"/>
      <c r="L222" s="663">
        <f>IF(H222&gt;0,(J222*D222)/H222,0)</f>
        <v>0</v>
      </c>
      <c r="M222" s="495"/>
      <c r="N222" s="665">
        <f>L222*J216</f>
        <v>0</v>
      </c>
      <c r="O222" s="495"/>
      <c r="P222" s="665">
        <f>IF(Consolidado_Geral!$G$133=7.6%,-(0.0165+0.076)*N222,0)</f>
        <v>0</v>
      </c>
      <c r="Q222" s="495"/>
      <c r="R222" s="665">
        <f t="shared" ref="R222:R231" si="14">N222+P222</f>
        <v>0</v>
      </c>
      <c r="S222" s="496"/>
    </row>
    <row r="223" spans="1:19" s="497" customFormat="1" ht="14.25" hidden="1" customHeight="1">
      <c r="A223" s="495"/>
      <c r="B223" s="77" t="s">
        <v>74</v>
      </c>
      <c r="C223" s="18"/>
      <c r="D223" s="644">
        <v>1</v>
      </c>
      <c r="E223" s="18"/>
      <c r="F223" s="646" t="s">
        <v>63</v>
      </c>
      <c r="G223" s="43"/>
      <c r="H223" s="651"/>
      <c r="I223" s="3"/>
      <c r="J223" s="653"/>
      <c r="K223" s="3"/>
      <c r="L223" s="663">
        <f>IF(H223&gt;0,(J223/H223),0)</f>
        <v>0</v>
      </c>
      <c r="M223" s="495"/>
      <c r="N223" s="665">
        <f>L223*J216</f>
        <v>0</v>
      </c>
      <c r="O223" s="495"/>
      <c r="P223" s="665">
        <f>IF(Consolidado_Geral!$G$133=7.6%,-(0.0165+0.076)*N223,0)</f>
        <v>0</v>
      </c>
      <c r="Q223" s="495"/>
      <c r="R223" s="665">
        <f t="shared" si="14"/>
        <v>0</v>
      </c>
      <c r="S223" s="496"/>
    </row>
    <row r="224" spans="1:19" s="497" customFormat="1" ht="14.25" hidden="1" customHeight="1">
      <c r="A224" s="495"/>
      <c r="B224" s="77" t="s">
        <v>68</v>
      </c>
      <c r="C224" s="18"/>
      <c r="D224" s="644"/>
      <c r="E224" s="18"/>
      <c r="F224" s="647" t="s">
        <v>63</v>
      </c>
      <c r="G224" s="498"/>
      <c r="H224" s="650"/>
      <c r="I224" s="3"/>
      <c r="J224" s="653"/>
      <c r="K224" s="3"/>
      <c r="L224" s="663">
        <f t="shared" ref="L224:L230" si="15">IF(H224&gt;0,(J224*D224)/H224,0)</f>
        <v>0</v>
      </c>
      <c r="M224" s="495"/>
      <c r="N224" s="665">
        <f>L224*J216</f>
        <v>0</v>
      </c>
      <c r="O224" s="495"/>
      <c r="P224" s="665">
        <f>IF(Consolidado_Geral!$G$133=7.6%,-(0.0165+0.076)*N224,0)</f>
        <v>0</v>
      </c>
      <c r="Q224" s="495"/>
      <c r="R224" s="665">
        <f t="shared" si="14"/>
        <v>0</v>
      </c>
      <c r="S224" s="496"/>
    </row>
    <row r="225" spans="1:20" s="497" customFormat="1" ht="14.25" hidden="1" customHeight="1">
      <c r="A225" s="495"/>
      <c r="B225" s="77" t="s">
        <v>69</v>
      </c>
      <c r="C225" s="18"/>
      <c r="D225" s="644">
        <v>1</v>
      </c>
      <c r="E225" s="18"/>
      <c r="F225" s="647" t="s">
        <v>63</v>
      </c>
      <c r="G225" s="498"/>
      <c r="H225" s="650"/>
      <c r="I225" s="3"/>
      <c r="J225" s="653"/>
      <c r="K225" s="3"/>
      <c r="L225" s="663">
        <f t="shared" si="15"/>
        <v>0</v>
      </c>
      <c r="M225" s="495"/>
      <c r="N225" s="665">
        <f>L225*J216</f>
        <v>0</v>
      </c>
      <c r="O225" s="495"/>
      <c r="P225" s="665">
        <f>IF(Consolidado_Geral!$G$133=7.6%,-(0.0165+0.076)*N225,0)</f>
        <v>0</v>
      </c>
      <c r="Q225" s="495"/>
      <c r="R225" s="665">
        <f t="shared" si="14"/>
        <v>0</v>
      </c>
      <c r="S225" s="496"/>
    </row>
    <row r="226" spans="1:20" s="497" customFormat="1" ht="14.25" hidden="1" customHeight="1">
      <c r="A226" s="495"/>
      <c r="B226" s="77" t="s">
        <v>70</v>
      </c>
      <c r="C226" s="18"/>
      <c r="D226" s="644">
        <v>1</v>
      </c>
      <c r="E226" s="18"/>
      <c r="F226" s="647" t="s">
        <v>63</v>
      </c>
      <c r="G226" s="498"/>
      <c r="H226" s="650"/>
      <c r="I226" s="3"/>
      <c r="J226" s="653"/>
      <c r="K226" s="3"/>
      <c r="L226" s="663">
        <f t="shared" si="15"/>
        <v>0</v>
      </c>
      <c r="M226" s="495"/>
      <c r="N226" s="665">
        <f>L226*J216</f>
        <v>0</v>
      </c>
      <c r="O226" s="495"/>
      <c r="P226" s="665">
        <f>IF(Consolidado_Geral!$G$133=7.6%,-(0.0165+0.076)*N226,0)</f>
        <v>0</v>
      </c>
      <c r="Q226" s="495"/>
      <c r="R226" s="665">
        <f t="shared" si="14"/>
        <v>0</v>
      </c>
      <c r="S226" s="496"/>
    </row>
    <row r="227" spans="1:20" s="497" customFormat="1" ht="14.25" hidden="1" customHeight="1">
      <c r="A227" s="495"/>
      <c r="B227" s="77" t="s">
        <v>71</v>
      </c>
      <c r="C227" s="18"/>
      <c r="D227" s="644">
        <v>1</v>
      </c>
      <c r="E227" s="18"/>
      <c r="F227" s="647" t="s">
        <v>63</v>
      </c>
      <c r="G227" s="498"/>
      <c r="H227" s="650"/>
      <c r="I227" s="3"/>
      <c r="J227" s="653"/>
      <c r="K227" s="3"/>
      <c r="L227" s="663">
        <f t="shared" si="15"/>
        <v>0</v>
      </c>
      <c r="M227" s="495"/>
      <c r="N227" s="665">
        <f>L227*J216</f>
        <v>0</v>
      </c>
      <c r="O227" s="495"/>
      <c r="P227" s="665">
        <f>IF(Consolidado_Geral!$G$133=7.6%,-(0.0165+0.076)*N227,0)</f>
        <v>0</v>
      </c>
      <c r="Q227" s="495"/>
      <c r="R227" s="665">
        <f t="shared" si="14"/>
        <v>0</v>
      </c>
      <c r="S227" s="496"/>
    </row>
    <row r="228" spans="1:20" s="497" customFormat="1" ht="14.25" hidden="1" customHeight="1">
      <c r="A228" s="495"/>
      <c r="B228" s="680" t="s">
        <v>72</v>
      </c>
      <c r="C228" s="499"/>
      <c r="D228" s="644">
        <v>1</v>
      </c>
      <c r="E228" s="499"/>
      <c r="F228" s="648" t="s">
        <v>63</v>
      </c>
      <c r="G228" s="500"/>
      <c r="H228" s="650"/>
      <c r="I228" s="3"/>
      <c r="J228" s="653"/>
      <c r="K228" s="3"/>
      <c r="L228" s="663">
        <f t="shared" si="15"/>
        <v>0</v>
      </c>
      <c r="M228" s="495"/>
      <c r="N228" s="665">
        <f>L228*J216</f>
        <v>0</v>
      </c>
      <c r="O228" s="495"/>
      <c r="P228" s="665">
        <f>IF(Consolidado_Geral!$G$133=7.6%,-(0.0165+0.076)*N228,0)</f>
        <v>0</v>
      </c>
      <c r="Q228" s="495"/>
      <c r="R228" s="665">
        <f t="shared" si="14"/>
        <v>0</v>
      </c>
      <c r="S228" s="496"/>
    </row>
    <row r="229" spans="1:20" s="497" customFormat="1" ht="14.25" hidden="1" customHeight="1">
      <c r="A229" s="495"/>
      <c r="B229" s="77" t="s">
        <v>73</v>
      </c>
      <c r="C229" s="18"/>
      <c r="D229" s="644">
        <v>1</v>
      </c>
      <c r="E229" s="18"/>
      <c r="F229" s="648" t="s">
        <v>29</v>
      </c>
      <c r="G229" s="500"/>
      <c r="H229" s="650"/>
      <c r="I229" s="3"/>
      <c r="J229" s="653"/>
      <c r="K229" s="3"/>
      <c r="L229" s="663">
        <f t="shared" si="15"/>
        <v>0</v>
      </c>
      <c r="M229" s="495"/>
      <c r="N229" s="665">
        <f>L229*J216</f>
        <v>0</v>
      </c>
      <c r="O229" s="495"/>
      <c r="P229" s="665">
        <f>IF(Consolidado_Geral!$G$133=7.6%,-(0.0165+0.076)*N229,0)</f>
        <v>0</v>
      </c>
      <c r="Q229" s="495"/>
      <c r="R229" s="665">
        <f t="shared" si="14"/>
        <v>0</v>
      </c>
      <c r="S229" s="496"/>
    </row>
    <row r="230" spans="1:20" s="497" customFormat="1" ht="14.25" hidden="1" customHeight="1" thickBot="1">
      <c r="A230" s="495"/>
      <c r="B230" s="66" t="s">
        <v>76</v>
      </c>
      <c r="C230" s="3"/>
      <c r="D230" s="645"/>
      <c r="E230" s="3"/>
      <c r="F230" s="649" t="s">
        <v>29</v>
      </c>
      <c r="G230" s="3"/>
      <c r="H230" s="650"/>
      <c r="I230" s="3"/>
      <c r="J230" s="653"/>
      <c r="K230" s="3"/>
      <c r="L230" s="663">
        <f t="shared" si="15"/>
        <v>0</v>
      </c>
      <c r="M230" s="495"/>
      <c r="N230" s="665">
        <f>L230*J216</f>
        <v>0</v>
      </c>
      <c r="O230" s="495"/>
      <c r="P230" s="665">
        <f>IF(Consolidado_Geral!$G$133=7.6%,-(0.0165+0.076)*N230,0)</f>
        <v>0</v>
      </c>
      <c r="Q230" s="495"/>
      <c r="R230" s="665">
        <f t="shared" si="14"/>
        <v>0</v>
      </c>
      <c r="S230" s="496"/>
    </row>
    <row r="231" spans="1:20" ht="14.25" hidden="1" customHeight="1" thickBot="1">
      <c r="A231" s="490"/>
      <c r="B231" s="681" t="s">
        <v>230</v>
      </c>
      <c r="C231" s="3"/>
      <c r="D231" s="497"/>
      <c r="E231" s="3"/>
      <c r="F231" s="500"/>
      <c r="G231" s="3"/>
      <c r="H231" s="652"/>
      <c r="I231" s="3"/>
      <c r="J231" s="553">
        <v>0.01</v>
      </c>
      <c r="K231" s="3"/>
      <c r="L231" s="664">
        <f>IF(H231&gt;0,J231*(R216-(D223*J223))/H231,0)</f>
        <v>0</v>
      </c>
      <c r="M231" s="490"/>
      <c r="N231" s="666">
        <f>L231*J216</f>
        <v>0</v>
      </c>
      <c r="O231" s="490"/>
      <c r="P231" s="666">
        <f>IF(Consolidado_Geral!$G$133=7.6%,-(0.0165+0.076)*N231,0)</f>
        <v>0</v>
      </c>
      <c r="Q231" s="490"/>
      <c r="R231" s="666">
        <f t="shared" si="14"/>
        <v>0</v>
      </c>
      <c r="S231" s="491"/>
    </row>
    <row r="232" spans="1:20" ht="4.5" hidden="1" customHeight="1">
      <c r="A232" s="490"/>
      <c r="B232" s="490"/>
      <c r="C232" s="490"/>
      <c r="D232" s="490"/>
      <c r="E232" s="3"/>
      <c r="F232" s="4"/>
      <c r="G232" s="4"/>
      <c r="H232" s="4"/>
      <c r="I232" s="4"/>
      <c r="J232" s="4"/>
      <c r="K232" s="3"/>
      <c r="L232" s="4"/>
      <c r="M232" s="490"/>
      <c r="N232" s="490"/>
      <c r="O232" s="490"/>
      <c r="P232" s="490"/>
      <c r="Q232" s="490"/>
      <c r="R232" s="490"/>
      <c r="S232" s="491"/>
    </row>
    <row r="233" spans="1:20" s="497" customFormat="1" ht="16.5" hidden="1" customHeight="1" thickBot="1">
      <c r="A233" s="495"/>
      <c r="B233" s="3"/>
      <c r="C233" s="3"/>
      <c r="D233" s="44"/>
      <c r="E233" s="3"/>
      <c r="F233" s="3"/>
      <c r="G233" s="3"/>
      <c r="H233" s="501"/>
      <c r="I233" s="36"/>
      <c r="J233" s="682" t="s">
        <v>109</v>
      </c>
      <c r="K233" s="502"/>
      <c r="L233" s="667">
        <f>SUM(L222:L230)</f>
        <v>0</v>
      </c>
      <c r="M233" s="495"/>
      <c r="N233" s="668">
        <f>SUM(N222:N230)</f>
        <v>0</v>
      </c>
      <c r="O233" s="495"/>
      <c r="P233" s="668">
        <f>SUM(P222:P230)</f>
        <v>0</v>
      </c>
      <c r="Q233" s="495"/>
      <c r="R233" s="668">
        <f>SUM(R222:R231)</f>
        <v>0</v>
      </c>
      <c r="S233" s="496"/>
      <c r="T233" s="503"/>
    </row>
    <row r="234" spans="1:20" ht="8.25" hidden="1" customHeight="1">
      <c r="A234" s="490"/>
      <c r="B234" s="4"/>
      <c r="C234" s="4"/>
      <c r="D234" s="10"/>
      <c r="E234" s="3"/>
      <c r="F234" s="504"/>
      <c r="G234" s="4"/>
      <c r="H234" s="490"/>
      <c r="I234" s="490"/>
      <c r="J234" s="505"/>
      <c r="K234" s="3"/>
      <c r="L234" s="4"/>
      <c r="M234" s="490"/>
      <c r="N234" s="490"/>
      <c r="O234" s="490"/>
      <c r="P234" s="490"/>
      <c r="Q234" s="490"/>
      <c r="R234" s="490"/>
      <c r="S234" s="491"/>
    </row>
    <row r="235" spans="1:20" s="507" customFormat="1" ht="16.5" hidden="1" customHeight="1" thickBot="1">
      <c r="A235" s="492"/>
      <c r="B235" s="639"/>
      <c r="C235" s="640"/>
      <c r="D235" s="640"/>
      <c r="E235" s="640"/>
      <c r="F235" s="640"/>
      <c r="G235" s="641"/>
      <c r="H235" s="640"/>
      <c r="I235" s="640"/>
      <c r="J235" s="656" t="s">
        <v>43</v>
      </c>
      <c r="K235" s="640"/>
      <c r="L235" s="640"/>
      <c r="M235" s="641"/>
      <c r="N235" s="641"/>
      <c r="O235" s="641"/>
      <c r="P235" s="641"/>
      <c r="Q235" s="641"/>
      <c r="R235" s="642"/>
      <c r="S235" s="506"/>
    </row>
    <row r="236" spans="1:20" ht="13.5" hidden="1" customHeight="1">
      <c r="A236" s="490"/>
      <c r="B236" s="6"/>
      <c r="C236" s="6"/>
      <c r="D236" s="6"/>
      <c r="E236" s="6"/>
      <c r="F236" s="6"/>
      <c r="G236" s="6"/>
      <c r="H236" s="6"/>
      <c r="I236" s="6"/>
      <c r="J236" s="669" t="s">
        <v>81</v>
      </c>
      <c r="K236" s="508"/>
      <c r="L236" s="669" t="s">
        <v>82</v>
      </c>
      <c r="M236" s="490"/>
      <c r="N236" s="490"/>
      <c r="O236" s="490"/>
      <c r="P236" s="490"/>
      <c r="Q236" s="490"/>
      <c r="R236" s="490"/>
      <c r="S236" s="491"/>
    </row>
    <row r="237" spans="1:20" ht="16.5" hidden="1" customHeight="1" thickBot="1">
      <c r="A237" s="490"/>
      <c r="B237" s="100" t="s">
        <v>231</v>
      </c>
      <c r="C237" s="672"/>
      <c r="D237" s="672"/>
      <c r="E237" s="672"/>
      <c r="F237" s="672"/>
      <c r="G237" s="672"/>
      <c r="H237" s="672"/>
      <c r="I237" s="6"/>
      <c r="J237" s="654">
        <f>R216*3%</f>
        <v>0</v>
      </c>
      <c r="K237" s="6"/>
      <c r="L237" s="670">
        <f>J237/12</f>
        <v>0</v>
      </c>
      <c r="M237" s="490"/>
      <c r="N237" s="490"/>
      <c r="O237" s="490"/>
      <c r="P237" s="490"/>
      <c r="Q237" s="490"/>
      <c r="R237" s="490"/>
      <c r="S237" s="491"/>
    </row>
    <row r="238" spans="1:20" ht="3.75" hidden="1" customHeight="1">
      <c r="A238" s="490"/>
      <c r="B238" s="672"/>
      <c r="C238" s="672"/>
      <c r="D238" s="672"/>
      <c r="E238" s="672"/>
      <c r="F238" s="672"/>
      <c r="G238" s="672"/>
      <c r="H238" s="672"/>
      <c r="I238" s="6"/>
      <c r="J238" s="6"/>
      <c r="K238" s="6"/>
      <c r="L238" s="671"/>
      <c r="M238" s="490"/>
      <c r="N238" s="490"/>
      <c r="O238" s="490"/>
      <c r="P238" s="490"/>
      <c r="Q238" s="490"/>
      <c r="R238" s="490"/>
      <c r="S238" s="491"/>
    </row>
    <row r="239" spans="1:20" ht="16.5" hidden="1" customHeight="1" thickBot="1">
      <c r="A239" s="490"/>
      <c r="B239" s="101" t="s">
        <v>77</v>
      </c>
      <c r="C239" s="672"/>
      <c r="D239" s="672"/>
      <c r="E239" s="672"/>
      <c r="F239" s="672"/>
      <c r="G239" s="672"/>
      <c r="H239" s="672"/>
      <c r="I239" s="6"/>
      <c r="J239" s="654"/>
      <c r="K239" s="6"/>
      <c r="L239" s="670">
        <f>J239/12</f>
        <v>0</v>
      </c>
      <c r="M239" s="490"/>
      <c r="N239" s="490"/>
      <c r="O239" s="490"/>
      <c r="P239" s="560" t="s">
        <v>178</v>
      </c>
      <c r="Q239" s="490"/>
      <c r="R239" s="675">
        <f>L237+L239</f>
        <v>0</v>
      </c>
      <c r="S239" s="491"/>
    </row>
    <row r="240" spans="1:20" hidden="1">
      <c r="A240" s="490"/>
      <c r="B240" s="4"/>
      <c r="C240" s="4"/>
      <c r="D240" s="10"/>
      <c r="E240" s="3"/>
      <c r="F240" s="4"/>
      <c r="G240" s="4"/>
      <c r="H240" s="492"/>
      <c r="I240" s="492"/>
      <c r="J240" s="505"/>
      <c r="K240" s="3"/>
      <c r="L240" s="4"/>
      <c r="M240" s="490"/>
      <c r="N240" s="490"/>
      <c r="O240" s="490"/>
      <c r="P240" s="490"/>
      <c r="Q240" s="490"/>
      <c r="R240" s="490"/>
      <c r="S240" s="491"/>
    </row>
    <row r="241" spans="1:20" ht="21.75" hidden="1" customHeight="1" thickBot="1">
      <c r="A241" s="490"/>
      <c r="B241" s="490"/>
      <c r="C241" s="490"/>
      <c r="D241" s="490"/>
      <c r="E241" s="3"/>
      <c r="F241" s="4"/>
      <c r="G241" s="4"/>
      <c r="H241" s="492"/>
      <c r="I241" s="492"/>
      <c r="J241" s="490"/>
      <c r="K241" s="509"/>
      <c r="L241" s="490"/>
      <c r="M241" s="490"/>
      <c r="N241" s="490"/>
      <c r="O241" s="492"/>
      <c r="P241" s="673" t="s">
        <v>44</v>
      </c>
      <c r="Q241" s="643"/>
      <c r="R241" s="674">
        <f>IF(J216&gt;0,R233+R239,0)</f>
        <v>0</v>
      </c>
      <c r="S241" s="491"/>
    </row>
    <row r="242" spans="1:20">
      <c r="B242" s="510"/>
      <c r="C242" s="510"/>
      <c r="D242" s="510"/>
      <c r="E242" s="510"/>
      <c r="F242" s="510"/>
      <c r="G242" s="510"/>
      <c r="H242" s="510"/>
      <c r="I242" s="510"/>
      <c r="J242" s="510"/>
      <c r="K242" s="510"/>
      <c r="L242" s="510"/>
    </row>
    <row r="243" spans="1:20">
      <c r="B243" s="510"/>
      <c r="C243" s="510"/>
      <c r="D243" s="510"/>
      <c r="E243" s="510"/>
      <c r="F243" s="510"/>
      <c r="G243" s="510"/>
      <c r="H243" s="510"/>
      <c r="I243" s="510"/>
      <c r="J243" s="510"/>
      <c r="K243" s="510"/>
      <c r="L243" s="510"/>
    </row>
    <row r="244" spans="1:20" ht="18" customHeight="1">
      <c r="C244" s="510"/>
      <c r="D244" s="510"/>
      <c r="E244" s="510"/>
      <c r="F244" s="510"/>
      <c r="G244" s="510"/>
      <c r="H244" s="510"/>
      <c r="I244" s="510"/>
      <c r="J244" s="510"/>
      <c r="K244" s="510"/>
      <c r="L244" s="510"/>
      <c r="M244" s="510"/>
      <c r="N244" s="510"/>
      <c r="O244" s="510"/>
      <c r="P244" s="510"/>
      <c r="Q244" s="510"/>
      <c r="R244" s="510"/>
      <c r="S244" s="510"/>
      <c r="T244" s="510"/>
    </row>
    <row r="245" spans="1:20">
      <c r="B245" s="510"/>
      <c r="C245" s="510"/>
      <c r="D245" s="510"/>
      <c r="E245" s="510"/>
      <c r="F245" s="510"/>
      <c r="G245" s="510"/>
      <c r="H245" s="510"/>
      <c r="I245" s="510"/>
      <c r="J245" s="510"/>
      <c r="K245" s="510"/>
      <c r="L245" s="510"/>
    </row>
    <row r="246" spans="1:20">
      <c r="B246" s="510"/>
      <c r="C246" s="510"/>
      <c r="D246" s="510"/>
      <c r="E246" s="510"/>
      <c r="F246" s="510"/>
      <c r="G246" s="510"/>
      <c r="H246" s="510"/>
      <c r="I246" s="510"/>
      <c r="J246" s="510"/>
      <c r="K246" s="510"/>
      <c r="L246" s="510"/>
    </row>
    <row r="247" spans="1:20">
      <c r="B247" s="510"/>
      <c r="C247" s="510"/>
      <c r="D247" s="510"/>
      <c r="E247" s="510"/>
      <c r="F247" s="510"/>
      <c r="G247" s="510"/>
      <c r="H247" s="510"/>
      <c r="I247" s="510"/>
      <c r="J247" s="510"/>
      <c r="K247" s="510"/>
      <c r="L247" s="510"/>
    </row>
    <row r="248" spans="1:20">
      <c r="B248" s="510"/>
      <c r="C248" s="510"/>
      <c r="D248" s="510"/>
      <c r="E248" s="510"/>
      <c r="F248" s="510"/>
      <c r="G248" s="510"/>
      <c r="H248" s="510"/>
      <c r="I248" s="510"/>
      <c r="J248" s="510"/>
      <c r="K248" s="510"/>
      <c r="L248" s="510"/>
    </row>
    <row r="249" spans="1:20">
      <c r="B249" s="510"/>
      <c r="C249" s="510"/>
      <c r="D249" s="510"/>
      <c r="E249" s="510"/>
      <c r="F249" s="510"/>
      <c r="G249" s="510"/>
      <c r="H249" s="510"/>
      <c r="I249" s="510"/>
      <c r="J249" s="510"/>
      <c r="K249" s="510"/>
      <c r="L249" s="510"/>
    </row>
    <row r="250" spans="1:20">
      <c r="B250" s="510"/>
      <c r="C250" s="510"/>
      <c r="D250" s="510"/>
      <c r="E250" s="510"/>
      <c r="F250" s="510"/>
      <c r="G250" s="510"/>
      <c r="H250" s="510"/>
      <c r="I250" s="510"/>
      <c r="J250" s="510"/>
      <c r="K250" s="510"/>
      <c r="L250" s="510"/>
    </row>
    <row r="251" spans="1:20">
      <c r="B251" s="510"/>
      <c r="C251" s="510"/>
      <c r="D251" s="510"/>
      <c r="E251" s="510"/>
      <c r="F251" s="510"/>
      <c r="G251" s="510"/>
      <c r="H251" s="510"/>
      <c r="I251" s="510"/>
      <c r="J251" s="510"/>
      <c r="K251" s="510"/>
      <c r="L251" s="510"/>
    </row>
    <row r="252" spans="1:20">
      <c r="B252" s="510"/>
      <c r="C252" s="510"/>
      <c r="D252" s="510"/>
      <c r="E252" s="510"/>
      <c r="F252" s="510"/>
      <c r="G252" s="510"/>
      <c r="H252" s="510"/>
      <c r="I252" s="510"/>
      <c r="J252" s="510"/>
      <c r="K252" s="510"/>
      <c r="L252" s="510"/>
    </row>
    <row r="253" spans="1:20">
      <c r="B253" s="510"/>
      <c r="C253" s="510"/>
      <c r="D253" s="510"/>
      <c r="E253" s="510"/>
      <c r="F253" s="510"/>
      <c r="G253" s="510"/>
      <c r="H253" s="510"/>
      <c r="I253" s="510"/>
      <c r="J253" s="510"/>
      <c r="K253" s="510"/>
      <c r="L253" s="510"/>
    </row>
    <row r="254" spans="1:20">
      <c r="B254" s="510"/>
      <c r="C254" s="510"/>
      <c r="D254" s="510"/>
      <c r="E254" s="510"/>
      <c r="F254" s="510"/>
      <c r="G254" s="510"/>
      <c r="H254" s="510"/>
      <c r="I254" s="510"/>
      <c r="J254" s="510"/>
      <c r="K254" s="510"/>
      <c r="L254" s="510"/>
    </row>
    <row r="255" spans="1:20">
      <c r="B255" s="510"/>
      <c r="C255" s="510"/>
      <c r="D255" s="510"/>
      <c r="E255" s="510"/>
      <c r="F255" s="510"/>
      <c r="G255" s="510"/>
      <c r="H255" s="510"/>
      <c r="I255" s="510"/>
      <c r="J255" s="510"/>
      <c r="K255" s="510"/>
      <c r="L255" s="510"/>
    </row>
    <row r="256" spans="1:20">
      <c r="B256" s="510"/>
      <c r="C256" s="510"/>
      <c r="D256" s="510"/>
      <c r="E256" s="510"/>
      <c r="F256" s="510"/>
      <c r="G256" s="510"/>
      <c r="H256" s="510"/>
      <c r="I256" s="510"/>
      <c r="J256" s="510"/>
      <c r="K256" s="510"/>
      <c r="L256" s="510"/>
    </row>
    <row r="257" spans="2:12">
      <c r="B257" s="510"/>
      <c r="C257" s="510"/>
      <c r="D257" s="510"/>
      <c r="E257" s="510"/>
      <c r="F257" s="510"/>
      <c r="G257" s="510"/>
      <c r="H257" s="510"/>
      <c r="I257" s="510"/>
      <c r="J257" s="510"/>
      <c r="K257" s="510"/>
      <c r="L257" s="510"/>
    </row>
    <row r="258" spans="2:12">
      <c r="B258" s="510"/>
      <c r="C258" s="510"/>
      <c r="D258" s="510"/>
      <c r="E258" s="510"/>
      <c r="F258" s="510"/>
      <c r="G258" s="510"/>
      <c r="H258" s="510"/>
      <c r="I258" s="510"/>
      <c r="J258" s="510"/>
      <c r="K258" s="510"/>
      <c r="L258" s="510"/>
    </row>
    <row r="259" spans="2:12">
      <c r="B259" s="510"/>
      <c r="C259" s="510"/>
      <c r="D259" s="510"/>
      <c r="E259" s="510"/>
      <c r="F259" s="510"/>
      <c r="G259" s="510"/>
      <c r="H259" s="510"/>
      <c r="I259" s="510"/>
      <c r="J259" s="510"/>
      <c r="K259" s="510"/>
      <c r="L259" s="510"/>
    </row>
    <row r="260" spans="2:12">
      <c r="B260" s="510"/>
      <c r="C260" s="510"/>
      <c r="D260" s="510"/>
      <c r="E260" s="510"/>
      <c r="F260" s="510"/>
      <c r="G260" s="510"/>
      <c r="H260" s="510"/>
      <c r="I260" s="510"/>
      <c r="J260" s="510"/>
      <c r="K260" s="510"/>
      <c r="L260" s="510"/>
    </row>
    <row r="261" spans="2:12">
      <c r="B261" s="510"/>
      <c r="C261" s="510"/>
      <c r="D261" s="510"/>
      <c r="E261" s="510"/>
      <c r="F261" s="510"/>
      <c r="G261" s="510"/>
      <c r="H261" s="510"/>
      <c r="I261" s="510"/>
      <c r="J261" s="510"/>
      <c r="K261" s="510"/>
      <c r="L261" s="510"/>
    </row>
    <row r="262" spans="2:12">
      <c r="B262" s="510"/>
      <c r="C262" s="510"/>
      <c r="D262" s="510"/>
      <c r="E262" s="510"/>
      <c r="F262" s="510"/>
      <c r="G262" s="510"/>
      <c r="H262" s="510"/>
      <c r="I262" s="510"/>
      <c r="J262" s="510"/>
      <c r="K262" s="510"/>
      <c r="L262" s="510"/>
    </row>
    <row r="263" spans="2:12">
      <c r="B263" s="510"/>
      <c r="C263" s="510"/>
      <c r="D263" s="510"/>
      <c r="E263" s="510"/>
      <c r="F263" s="510"/>
      <c r="G263" s="510"/>
      <c r="H263" s="510"/>
      <c r="I263" s="510"/>
      <c r="J263" s="510"/>
      <c r="K263" s="510"/>
      <c r="L263" s="510"/>
    </row>
    <row r="264" spans="2:12">
      <c r="B264" s="510"/>
      <c r="C264" s="510"/>
      <c r="D264" s="510"/>
      <c r="E264" s="510"/>
      <c r="F264" s="510"/>
      <c r="G264" s="510"/>
      <c r="H264" s="510"/>
      <c r="I264" s="510"/>
      <c r="J264" s="510"/>
      <c r="K264" s="510"/>
      <c r="L264" s="510"/>
    </row>
    <row r="265" spans="2:12">
      <c r="B265" s="510"/>
      <c r="C265" s="510"/>
      <c r="D265" s="510"/>
      <c r="E265" s="510"/>
      <c r="F265" s="510"/>
      <c r="G265" s="510"/>
      <c r="H265" s="510"/>
      <c r="I265" s="510"/>
      <c r="J265" s="510"/>
      <c r="K265" s="510"/>
      <c r="L265" s="510"/>
    </row>
    <row r="266" spans="2:12">
      <c r="B266" s="510"/>
      <c r="C266" s="510"/>
      <c r="D266" s="510"/>
      <c r="E266" s="510"/>
      <c r="F266" s="510"/>
      <c r="G266" s="510"/>
      <c r="H266" s="510"/>
      <c r="I266" s="510"/>
      <c r="J266" s="510"/>
      <c r="K266" s="510"/>
      <c r="L266" s="510"/>
    </row>
    <row r="267" spans="2:12">
      <c r="B267" s="510"/>
      <c r="C267" s="510"/>
      <c r="D267" s="510"/>
      <c r="E267" s="510"/>
      <c r="F267" s="510"/>
      <c r="G267" s="510"/>
      <c r="H267" s="510"/>
      <c r="I267" s="510"/>
      <c r="J267" s="510"/>
      <c r="K267" s="510"/>
      <c r="L267" s="510"/>
    </row>
    <row r="268" spans="2:12">
      <c r="B268" s="510"/>
      <c r="C268" s="510"/>
      <c r="D268" s="510"/>
      <c r="E268" s="510"/>
      <c r="F268" s="510"/>
      <c r="G268" s="510"/>
      <c r="H268" s="510"/>
      <c r="I268" s="510"/>
      <c r="J268" s="510"/>
      <c r="K268" s="510"/>
      <c r="L268" s="510"/>
    </row>
    <row r="269" spans="2:12">
      <c r="B269" s="510"/>
      <c r="C269" s="510"/>
      <c r="D269" s="510"/>
      <c r="E269" s="510"/>
      <c r="F269" s="510"/>
      <c r="G269" s="510"/>
      <c r="H269" s="510"/>
      <c r="I269" s="510"/>
      <c r="J269" s="510"/>
      <c r="K269" s="510"/>
      <c r="L269" s="510"/>
    </row>
    <row r="270" spans="2:12">
      <c r="B270" s="510"/>
      <c r="C270" s="510"/>
      <c r="D270" s="510"/>
      <c r="E270" s="510"/>
      <c r="F270" s="510"/>
      <c r="G270" s="510"/>
      <c r="H270" s="510"/>
      <c r="I270" s="510"/>
      <c r="J270" s="510"/>
      <c r="K270" s="510"/>
      <c r="L270" s="510"/>
    </row>
    <row r="271" spans="2:12">
      <c r="B271" s="510"/>
      <c r="C271" s="510"/>
      <c r="D271" s="510"/>
      <c r="E271" s="510"/>
      <c r="F271" s="510"/>
      <c r="G271" s="510"/>
      <c r="H271" s="510"/>
      <c r="I271" s="510"/>
      <c r="J271" s="510"/>
      <c r="K271" s="510"/>
      <c r="L271" s="510"/>
    </row>
    <row r="272" spans="2:12">
      <c r="B272" s="510"/>
      <c r="C272" s="510"/>
      <c r="D272" s="510"/>
      <c r="E272" s="510"/>
      <c r="F272" s="510"/>
      <c r="G272" s="510"/>
      <c r="H272" s="510"/>
      <c r="I272" s="510"/>
      <c r="J272" s="510"/>
      <c r="K272" s="510"/>
      <c r="L272" s="510"/>
    </row>
    <row r="273" spans="2:12">
      <c r="B273" s="510"/>
      <c r="C273" s="510"/>
      <c r="D273" s="510"/>
      <c r="E273" s="510"/>
      <c r="F273" s="510"/>
      <c r="G273" s="510"/>
      <c r="H273" s="510"/>
      <c r="I273" s="510"/>
      <c r="J273" s="510"/>
      <c r="K273" s="510"/>
      <c r="L273" s="510"/>
    </row>
    <row r="274" spans="2:12">
      <c r="B274" s="510"/>
      <c r="C274" s="510"/>
      <c r="D274" s="510"/>
      <c r="E274" s="510"/>
      <c r="F274" s="510"/>
      <c r="G274" s="510"/>
      <c r="H274" s="510"/>
      <c r="I274" s="510"/>
      <c r="J274" s="510"/>
      <c r="K274" s="510"/>
      <c r="L274" s="510"/>
    </row>
    <row r="275" spans="2:12">
      <c r="B275" s="510"/>
      <c r="C275" s="510"/>
      <c r="D275" s="510"/>
      <c r="E275" s="510"/>
      <c r="F275" s="510"/>
      <c r="G275" s="510"/>
      <c r="H275" s="510"/>
      <c r="I275" s="510"/>
      <c r="J275" s="510"/>
      <c r="K275" s="510"/>
      <c r="L275" s="510"/>
    </row>
    <row r="276" spans="2:12">
      <c r="B276" s="510"/>
      <c r="C276" s="510"/>
      <c r="D276" s="510"/>
      <c r="E276" s="510"/>
      <c r="F276" s="510"/>
      <c r="G276" s="510"/>
      <c r="H276" s="510"/>
      <c r="I276" s="510"/>
      <c r="J276" s="510"/>
      <c r="K276" s="510"/>
      <c r="L276" s="510"/>
    </row>
    <row r="277" spans="2:12">
      <c r="B277" s="510"/>
      <c r="C277" s="510"/>
      <c r="D277" s="510"/>
      <c r="E277" s="510"/>
      <c r="F277" s="510"/>
      <c r="G277" s="510"/>
      <c r="H277" s="510"/>
      <c r="I277" s="510"/>
      <c r="J277" s="510"/>
      <c r="K277" s="510"/>
      <c r="L277" s="510"/>
    </row>
    <row r="278" spans="2:12">
      <c r="B278" s="510"/>
      <c r="C278" s="510"/>
      <c r="D278" s="510"/>
      <c r="E278" s="510"/>
      <c r="F278" s="510"/>
      <c r="G278" s="510"/>
      <c r="H278" s="510"/>
      <c r="I278" s="510"/>
      <c r="J278" s="510"/>
      <c r="K278" s="510"/>
      <c r="L278" s="510"/>
    </row>
    <row r="279" spans="2:12">
      <c r="B279" s="510"/>
      <c r="C279" s="510"/>
      <c r="D279" s="510"/>
      <c r="E279" s="510"/>
      <c r="F279" s="510"/>
      <c r="G279" s="510"/>
      <c r="H279" s="510"/>
      <c r="I279" s="510"/>
      <c r="J279" s="510"/>
      <c r="K279" s="510"/>
      <c r="L279" s="510"/>
    </row>
    <row r="280" spans="2:12">
      <c r="B280" s="510"/>
      <c r="C280" s="510"/>
      <c r="D280" s="510"/>
      <c r="E280" s="510"/>
      <c r="F280" s="510"/>
      <c r="G280" s="510"/>
      <c r="H280" s="510"/>
      <c r="I280" s="510"/>
      <c r="J280" s="510"/>
      <c r="K280" s="510"/>
      <c r="L280" s="510"/>
    </row>
    <row r="281" spans="2:12">
      <c r="B281" s="510"/>
      <c r="C281" s="510"/>
      <c r="D281" s="510"/>
      <c r="E281" s="510"/>
      <c r="F281" s="510"/>
      <c r="G281" s="510"/>
      <c r="H281" s="510"/>
      <c r="I281" s="510"/>
      <c r="J281" s="510"/>
      <c r="K281" s="510"/>
      <c r="L281" s="510"/>
    </row>
    <row r="282" spans="2:12">
      <c r="B282" s="510"/>
      <c r="C282" s="510"/>
      <c r="D282" s="510"/>
      <c r="E282" s="510"/>
      <c r="F282" s="510"/>
      <c r="G282" s="510"/>
      <c r="H282" s="510"/>
      <c r="I282" s="510"/>
      <c r="J282" s="510"/>
      <c r="K282" s="510"/>
      <c r="L282" s="510"/>
    </row>
    <row r="283" spans="2:12">
      <c r="B283" s="510"/>
      <c r="C283" s="510"/>
      <c r="D283" s="510"/>
      <c r="E283" s="510"/>
      <c r="F283" s="510"/>
      <c r="G283" s="510"/>
      <c r="H283" s="510"/>
      <c r="I283" s="510"/>
      <c r="J283" s="510"/>
      <c r="K283" s="510"/>
      <c r="L283" s="510"/>
    </row>
    <row r="284" spans="2:12">
      <c r="B284" s="510"/>
      <c r="C284" s="510"/>
      <c r="D284" s="510"/>
      <c r="E284" s="510"/>
      <c r="F284" s="510"/>
      <c r="G284" s="510"/>
      <c r="H284" s="510"/>
      <c r="I284" s="510"/>
      <c r="J284" s="510"/>
      <c r="K284" s="510"/>
      <c r="L284" s="510"/>
    </row>
    <row r="285" spans="2:12">
      <c r="B285" s="510"/>
      <c r="C285" s="510"/>
      <c r="D285" s="510"/>
      <c r="E285" s="510"/>
      <c r="F285" s="510"/>
      <c r="G285" s="510"/>
      <c r="H285" s="510"/>
      <c r="I285" s="510"/>
      <c r="J285" s="510"/>
      <c r="K285" s="510"/>
      <c r="L285" s="510"/>
    </row>
    <row r="286" spans="2:12">
      <c r="B286" s="510"/>
      <c r="C286" s="510"/>
      <c r="D286" s="510"/>
      <c r="E286" s="510"/>
      <c r="F286" s="510"/>
      <c r="G286" s="510"/>
      <c r="H286" s="510"/>
      <c r="I286" s="510"/>
      <c r="J286" s="510"/>
      <c r="K286" s="510"/>
      <c r="L286" s="510"/>
    </row>
    <row r="287" spans="2:12">
      <c r="B287" s="510"/>
      <c r="C287" s="510"/>
      <c r="D287" s="510"/>
      <c r="E287" s="510"/>
      <c r="F287" s="510"/>
      <c r="G287" s="510"/>
      <c r="H287" s="510"/>
      <c r="I287" s="510"/>
      <c r="J287" s="510"/>
      <c r="K287" s="510"/>
      <c r="L287" s="510"/>
    </row>
    <row r="288" spans="2:12">
      <c r="B288" s="510"/>
      <c r="C288" s="510"/>
      <c r="D288" s="510"/>
      <c r="E288" s="510"/>
      <c r="F288" s="510"/>
      <c r="G288" s="510"/>
      <c r="H288" s="510"/>
      <c r="I288" s="510"/>
      <c r="J288" s="510"/>
      <c r="K288" s="510"/>
      <c r="L288" s="510"/>
    </row>
    <row r="289" spans="2:12">
      <c r="B289" s="510"/>
      <c r="C289" s="510"/>
      <c r="D289" s="510"/>
      <c r="E289" s="510"/>
      <c r="F289" s="510"/>
      <c r="G289" s="510"/>
      <c r="H289" s="510"/>
      <c r="I289" s="510"/>
      <c r="J289" s="510"/>
      <c r="K289" s="510"/>
      <c r="L289" s="510"/>
    </row>
    <row r="290" spans="2:12">
      <c r="B290" s="510"/>
      <c r="C290" s="510"/>
      <c r="D290" s="510"/>
      <c r="E290" s="510"/>
      <c r="F290" s="510"/>
      <c r="G290" s="510"/>
      <c r="H290" s="510"/>
      <c r="I290" s="510"/>
      <c r="J290" s="510"/>
      <c r="K290" s="510"/>
      <c r="L290" s="510"/>
    </row>
    <row r="291" spans="2:12">
      <c r="B291" s="510"/>
      <c r="C291" s="510"/>
      <c r="D291" s="510"/>
      <c r="E291" s="510"/>
      <c r="F291" s="510"/>
      <c r="G291" s="510"/>
      <c r="H291" s="510"/>
      <c r="I291" s="510"/>
      <c r="J291" s="510"/>
      <c r="K291" s="510"/>
      <c r="L291" s="510"/>
    </row>
    <row r="292" spans="2:12">
      <c r="B292" s="510"/>
      <c r="C292" s="510"/>
      <c r="D292" s="510"/>
      <c r="E292" s="510"/>
      <c r="F292" s="510"/>
      <c r="G292" s="510"/>
      <c r="H292" s="510"/>
      <c r="I292" s="510"/>
      <c r="J292" s="510"/>
      <c r="K292" s="510"/>
      <c r="L292" s="510"/>
    </row>
    <row r="293" spans="2:12">
      <c r="B293" s="510"/>
      <c r="C293" s="510"/>
      <c r="D293" s="510"/>
      <c r="E293" s="510"/>
      <c r="F293" s="510"/>
      <c r="G293" s="510"/>
      <c r="H293" s="510"/>
      <c r="I293" s="510"/>
      <c r="J293" s="510"/>
      <c r="K293" s="510"/>
      <c r="L293" s="510"/>
    </row>
    <row r="294" spans="2:12">
      <c r="B294" s="510"/>
      <c r="C294" s="510"/>
      <c r="D294" s="510"/>
      <c r="E294" s="510"/>
      <c r="F294" s="510"/>
      <c r="G294" s="510"/>
      <c r="H294" s="510"/>
      <c r="I294" s="510"/>
      <c r="J294" s="510"/>
      <c r="K294" s="510"/>
      <c r="L294" s="510"/>
    </row>
    <row r="295" spans="2:12">
      <c r="B295" s="510"/>
      <c r="C295" s="510"/>
      <c r="D295" s="510"/>
      <c r="E295" s="510"/>
      <c r="F295" s="510"/>
      <c r="G295" s="510"/>
      <c r="H295" s="510"/>
      <c r="I295" s="510"/>
      <c r="J295" s="510"/>
      <c r="K295" s="510"/>
      <c r="L295" s="510"/>
    </row>
    <row r="296" spans="2:12">
      <c r="B296" s="510"/>
      <c r="C296" s="510"/>
      <c r="D296" s="510"/>
      <c r="E296" s="510"/>
      <c r="F296" s="510"/>
      <c r="G296" s="510"/>
      <c r="H296" s="510"/>
      <c r="I296" s="510"/>
      <c r="J296" s="510"/>
      <c r="K296" s="510"/>
      <c r="L296" s="510"/>
    </row>
    <row r="297" spans="2:12">
      <c r="B297" s="510"/>
      <c r="C297" s="510"/>
      <c r="D297" s="510"/>
      <c r="E297" s="510"/>
      <c r="F297" s="510"/>
      <c r="G297" s="510"/>
      <c r="H297" s="510"/>
      <c r="I297" s="510"/>
      <c r="J297" s="510"/>
      <c r="K297" s="510"/>
      <c r="L297" s="510"/>
    </row>
    <row r="298" spans="2:12">
      <c r="B298" s="510"/>
      <c r="C298" s="510"/>
      <c r="D298" s="510"/>
      <c r="E298" s="510"/>
      <c r="F298" s="510"/>
      <c r="G298" s="510"/>
      <c r="H298" s="510"/>
      <c r="I298" s="510"/>
      <c r="J298" s="510"/>
      <c r="K298" s="510"/>
      <c r="L298" s="510"/>
    </row>
    <row r="299" spans="2:12">
      <c r="B299" s="510"/>
      <c r="C299" s="510"/>
      <c r="D299" s="510"/>
      <c r="E299" s="510"/>
      <c r="F299" s="510"/>
      <c r="G299" s="510"/>
      <c r="H299" s="510"/>
      <c r="I299" s="510"/>
      <c r="J299" s="510"/>
      <c r="K299" s="510"/>
      <c r="L299" s="510"/>
    </row>
    <row r="300" spans="2:12">
      <c r="B300" s="510"/>
      <c r="C300" s="510"/>
      <c r="D300" s="510"/>
      <c r="E300" s="510"/>
      <c r="F300" s="510"/>
      <c r="G300" s="510"/>
      <c r="H300" s="510"/>
      <c r="I300" s="510"/>
      <c r="J300" s="510"/>
      <c r="K300" s="510"/>
      <c r="L300" s="510"/>
    </row>
    <row r="301" spans="2:12">
      <c r="B301" s="510"/>
      <c r="C301" s="510"/>
      <c r="D301" s="510"/>
      <c r="E301" s="510"/>
      <c r="F301" s="510"/>
      <c r="G301" s="510"/>
      <c r="H301" s="510"/>
      <c r="I301" s="510"/>
      <c r="J301" s="510"/>
      <c r="K301" s="510"/>
      <c r="L301" s="510"/>
    </row>
    <row r="302" spans="2:12">
      <c r="B302" s="510"/>
      <c r="C302" s="510"/>
      <c r="D302" s="510"/>
      <c r="E302" s="510"/>
      <c r="F302" s="510"/>
      <c r="G302" s="510"/>
      <c r="H302" s="510"/>
      <c r="I302" s="510"/>
      <c r="J302" s="510"/>
      <c r="K302" s="510"/>
      <c r="L302" s="510"/>
    </row>
    <row r="303" spans="2:12">
      <c r="B303" s="510"/>
      <c r="C303" s="510"/>
      <c r="D303" s="510"/>
      <c r="E303" s="510"/>
      <c r="F303" s="510"/>
      <c r="G303" s="510"/>
      <c r="H303" s="510"/>
      <c r="I303" s="510"/>
      <c r="J303" s="510"/>
      <c r="K303" s="510"/>
      <c r="L303" s="510"/>
    </row>
    <row r="304" spans="2:12">
      <c r="B304" s="510"/>
      <c r="C304" s="510"/>
      <c r="D304" s="510"/>
      <c r="E304" s="510"/>
      <c r="F304" s="510"/>
      <c r="G304" s="510"/>
      <c r="H304" s="510"/>
      <c r="I304" s="510"/>
      <c r="J304" s="510"/>
      <c r="K304" s="510"/>
      <c r="L304" s="510"/>
    </row>
    <row r="305" spans="2:12">
      <c r="B305" s="510"/>
      <c r="C305" s="510"/>
      <c r="D305" s="510"/>
      <c r="E305" s="510"/>
      <c r="F305" s="510"/>
      <c r="G305" s="510"/>
      <c r="H305" s="510"/>
      <c r="I305" s="510"/>
      <c r="J305" s="510"/>
      <c r="K305" s="510"/>
      <c r="L305" s="510"/>
    </row>
    <row r="306" spans="2:12">
      <c r="B306" s="510"/>
      <c r="C306" s="510"/>
      <c r="D306" s="510"/>
      <c r="E306" s="510"/>
      <c r="F306" s="510"/>
      <c r="G306" s="510"/>
      <c r="H306" s="510"/>
      <c r="I306" s="510"/>
      <c r="J306" s="510"/>
      <c r="K306" s="510"/>
      <c r="L306" s="510"/>
    </row>
    <row r="307" spans="2:12">
      <c r="B307" s="510"/>
      <c r="C307" s="510"/>
      <c r="D307" s="510"/>
      <c r="E307" s="510"/>
      <c r="F307" s="510"/>
      <c r="G307" s="510"/>
      <c r="H307" s="510"/>
      <c r="I307" s="510"/>
      <c r="J307" s="510"/>
      <c r="K307" s="510"/>
      <c r="L307" s="510"/>
    </row>
    <row r="308" spans="2:12">
      <c r="B308" s="510"/>
      <c r="C308" s="510"/>
      <c r="D308" s="510"/>
      <c r="E308" s="510"/>
      <c r="F308" s="510"/>
      <c r="G308" s="510"/>
      <c r="H308" s="510"/>
      <c r="I308" s="510"/>
      <c r="J308" s="510"/>
      <c r="K308" s="510"/>
      <c r="L308" s="510"/>
    </row>
    <row r="309" spans="2:12">
      <c r="B309" s="510"/>
      <c r="C309" s="510"/>
      <c r="D309" s="510"/>
      <c r="E309" s="510"/>
      <c r="F309" s="510"/>
      <c r="G309" s="510"/>
      <c r="H309" s="510"/>
      <c r="I309" s="510"/>
      <c r="J309" s="510"/>
      <c r="K309" s="510"/>
      <c r="L309" s="510"/>
    </row>
    <row r="310" spans="2:12">
      <c r="B310" s="510"/>
      <c r="C310" s="510"/>
      <c r="D310" s="510"/>
      <c r="E310" s="510"/>
      <c r="F310" s="510"/>
      <c r="G310" s="510"/>
      <c r="H310" s="510"/>
      <c r="I310" s="510"/>
      <c r="J310" s="510"/>
      <c r="K310" s="510"/>
      <c r="L310" s="510"/>
    </row>
    <row r="311" spans="2:12">
      <c r="B311" s="510"/>
      <c r="C311" s="510"/>
      <c r="D311" s="510"/>
      <c r="E311" s="510"/>
      <c r="F311" s="510"/>
      <c r="G311" s="510"/>
      <c r="H311" s="510"/>
      <c r="I311" s="510"/>
      <c r="J311" s="510"/>
      <c r="K311" s="510"/>
      <c r="L311" s="510"/>
    </row>
    <row r="312" spans="2:12">
      <c r="B312" s="510"/>
      <c r="C312" s="510"/>
      <c r="D312" s="510"/>
      <c r="E312" s="510"/>
      <c r="F312" s="510"/>
      <c r="G312" s="510"/>
      <c r="H312" s="510"/>
      <c r="I312" s="510"/>
      <c r="J312" s="510"/>
      <c r="K312" s="510"/>
      <c r="L312" s="510"/>
    </row>
    <row r="313" spans="2:12">
      <c r="B313" s="510"/>
      <c r="C313" s="510"/>
      <c r="D313" s="510"/>
      <c r="E313" s="510"/>
      <c r="F313" s="510"/>
      <c r="G313" s="510"/>
      <c r="H313" s="510"/>
      <c r="I313" s="510"/>
      <c r="J313" s="510"/>
      <c r="K313" s="510"/>
      <c r="L313" s="510"/>
    </row>
    <row r="314" spans="2:12">
      <c r="B314" s="510"/>
      <c r="C314" s="510"/>
      <c r="D314" s="510"/>
      <c r="E314" s="510"/>
      <c r="F314" s="510"/>
      <c r="G314" s="510"/>
      <c r="H314" s="510"/>
      <c r="I314" s="510"/>
      <c r="J314" s="510"/>
      <c r="K314" s="510"/>
      <c r="L314" s="510"/>
    </row>
    <row r="315" spans="2:12">
      <c r="B315" s="510"/>
      <c r="C315" s="510"/>
      <c r="D315" s="510"/>
      <c r="E315" s="510"/>
      <c r="F315" s="510"/>
      <c r="G315" s="510"/>
      <c r="H315" s="510"/>
      <c r="I315" s="510"/>
      <c r="J315" s="510"/>
      <c r="K315" s="510"/>
      <c r="L315" s="510"/>
    </row>
    <row r="316" spans="2:12">
      <c r="B316" s="510"/>
      <c r="C316" s="510"/>
      <c r="D316" s="510"/>
      <c r="E316" s="510"/>
      <c r="F316" s="510"/>
      <c r="G316" s="510"/>
      <c r="H316" s="510"/>
      <c r="I316" s="510"/>
      <c r="J316" s="510"/>
      <c r="K316" s="510"/>
      <c r="L316" s="510"/>
    </row>
    <row r="317" spans="2:12">
      <c r="B317" s="510"/>
      <c r="C317" s="510"/>
      <c r="D317" s="510"/>
      <c r="E317" s="510"/>
      <c r="F317" s="510"/>
      <c r="G317" s="510"/>
      <c r="H317" s="510"/>
      <c r="I317" s="510"/>
      <c r="J317" s="510"/>
      <c r="K317" s="510"/>
      <c r="L317" s="510"/>
    </row>
    <row r="318" spans="2:12">
      <c r="B318" s="510"/>
      <c r="C318" s="510"/>
      <c r="D318" s="510"/>
      <c r="E318" s="510"/>
      <c r="F318" s="510"/>
      <c r="G318" s="510"/>
      <c r="H318" s="510"/>
      <c r="I318" s="510"/>
      <c r="J318" s="510"/>
      <c r="K318" s="510"/>
      <c r="L318" s="510"/>
    </row>
    <row r="319" spans="2:12">
      <c r="B319" s="510"/>
      <c r="C319" s="510"/>
      <c r="D319" s="510"/>
      <c r="E319" s="510"/>
      <c r="F319" s="510"/>
      <c r="G319" s="510"/>
      <c r="H319" s="510"/>
      <c r="I319" s="510"/>
      <c r="J319" s="510"/>
      <c r="K319" s="510"/>
      <c r="L319" s="510"/>
    </row>
    <row r="320" spans="2:12">
      <c r="B320" s="510"/>
      <c r="C320" s="510"/>
      <c r="D320" s="510"/>
      <c r="E320" s="510"/>
      <c r="F320" s="510"/>
      <c r="G320" s="510"/>
      <c r="H320" s="510"/>
      <c r="I320" s="510"/>
      <c r="J320" s="510"/>
      <c r="K320" s="510"/>
      <c r="L320" s="510"/>
    </row>
    <row r="321" spans="2:12">
      <c r="B321" s="510"/>
      <c r="C321" s="510"/>
      <c r="D321" s="510"/>
      <c r="E321" s="510"/>
      <c r="F321" s="510"/>
      <c r="G321" s="510"/>
      <c r="H321" s="510"/>
      <c r="I321" s="510"/>
      <c r="J321" s="510"/>
      <c r="K321" s="510"/>
      <c r="L321" s="510"/>
    </row>
    <row r="322" spans="2:12">
      <c r="B322" s="510"/>
      <c r="C322" s="510"/>
      <c r="D322" s="510"/>
      <c r="E322" s="510"/>
      <c r="F322" s="510"/>
      <c r="G322" s="510"/>
      <c r="H322" s="510"/>
      <c r="I322" s="510"/>
      <c r="J322" s="510"/>
      <c r="K322" s="510"/>
      <c r="L322" s="510"/>
    </row>
    <row r="323" spans="2:12">
      <c r="B323" s="510"/>
      <c r="C323" s="510"/>
      <c r="D323" s="510"/>
      <c r="E323" s="510"/>
      <c r="F323" s="510"/>
      <c r="G323" s="510"/>
      <c r="H323" s="510"/>
      <c r="I323" s="510"/>
      <c r="J323" s="510"/>
      <c r="K323" s="510"/>
      <c r="L323" s="510"/>
    </row>
    <row r="324" spans="2:12">
      <c r="B324" s="510"/>
      <c r="C324" s="510"/>
      <c r="D324" s="510"/>
      <c r="E324" s="510"/>
      <c r="F324" s="510"/>
      <c r="G324" s="510"/>
      <c r="H324" s="510"/>
      <c r="I324" s="510"/>
      <c r="J324" s="510"/>
      <c r="K324" s="510"/>
      <c r="L324" s="510"/>
    </row>
    <row r="325" spans="2:12">
      <c r="B325" s="510"/>
      <c r="C325" s="510"/>
      <c r="D325" s="510"/>
      <c r="E325" s="510"/>
      <c r="F325" s="510"/>
      <c r="G325" s="510"/>
      <c r="H325" s="510"/>
      <c r="I325" s="510"/>
      <c r="J325" s="510"/>
      <c r="K325" s="510"/>
      <c r="L325" s="510"/>
    </row>
    <row r="326" spans="2:12">
      <c r="B326" s="510"/>
      <c r="C326" s="510"/>
      <c r="D326" s="510"/>
      <c r="E326" s="510"/>
      <c r="F326" s="510"/>
      <c r="G326" s="510"/>
      <c r="H326" s="510"/>
      <c r="I326" s="510"/>
      <c r="J326" s="510"/>
      <c r="K326" s="510"/>
      <c r="L326" s="510"/>
    </row>
    <row r="327" spans="2:12">
      <c r="B327" s="510"/>
      <c r="C327" s="510"/>
      <c r="D327" s="510"/>
      <c r="E327" s="510"/>
      <c r="F327" s="510"/>
      <c r="G327" s="510"/>
      <c r="H327" s="510"/>
      <c r="I327" s="510"/>
      <c r="J327" s="510"/>
      <c r="K327" s="510"/>
      <c r="L327" s="510"/>
    </row>
    <row r="328" spans="2:12">
      <c r="B328" s="510"/>
      <c r="C328" s="510"/>
      <c r="D328" s="510"/>
      <c r="E328" s="510"/>
      <c r="F328" s="510"/>
      <c r="G328" s="510"/>
      <c r="H328" s="510"/>
      <c r="I328" s="510"/>
      <c r="J328" s="510"/>
      <c r="K328" s="510"/>
      <c r="L328" s="510"/>
    </row>
    <row r="329" spans="2:12">
      <c r="B329" s="510"/>
      <c r="C329" s="510"/>
      <c r="D329" s="510"/>
      <c r="E329" s="510"/>
      <c r="F329" s="510"/>
      <c r="G329" s="510"/>
      <c r="H329" s="510"/>
      <c r="I329" s="510"/>
      <c r="J329" s="510"/>
      <c r="K329" s="510"/>
      <c r="L329" s="510"/>
    </row>
    <row r="330" spans="2:12">
      <c r="B330" s="510"/>
      <c r="C330" s="510"/>
      <c r="D330" s="510"/>
      <c r="E330" s="510"/>
      <c r="F330" s="510"/>
      <c r="G330" s="510"/>
      <c r="H330" s="510"/>
      <c r="I330" s="510"/>
      <c r="J330" s="510"/>
      <c r="K330" s="510"/>
      <c r="L330" s="510"/>
    </row>
    <row r="331" spans="2:12">
      <c r="B331" s="510"/>
      <c r="C331" s="510"/>
      <c r="D331" s="510"/>
      <c r="E331" s="510"/>
      <c r="F331" s="510"/>
      <c r="G331" s="510"/>
      <c r="H331" s="510"/>
      <c r="I331" s="510"/>
      <c r="J331" s="510"/>
      <c r="K331" s="510"/>
      <c r="L331" s="510"/>
    </row>
    <row r="332" spans="2:12">
      <c r="B332" s="510"/>
      <c r="C332" s="510"/>
      <c r="D332" s="510"/>
      <c r="E332" s="510"/>
      <c r="F332" s="510"/>
      <c r="G332" s="510"/>
      <c r="H332" s="510"/>
      <c r="I332" s="510"/>
      <c r="J332" s="510"/>
      <c r="K332" s="510"/>
      <c r="L332" s="510"/>
    </row>
    <row r="333" spans="2:12">
      <c r="B333" s="510"/>
      <c r="C333" s="510"/>
      <c r="D333" s="510"/>
      <c r="E333" s="510"/>
      <c r="F333" s="510"/>
      <c r="G333" s="510"/>
      <c r="H333" s="510"/>
      <c r="I333" s="510"/>
      <c r="J333" s="510"/>
      <c r="K333" s="510"/>
      <c r="L333" s="510"/>
    </row>
    <row r="334" spans="2:12">
      <c r="B334" s="510"/>
      <c r="C334" s="510"/>
      <c r="D334" s="510"/>
      <c r="E334" s="510"/>
      <c r="F334" s="510"/>
      <c r="G334" s="510"/>
      <c r="H334" s="510"/>
      <c r="I334" s="510"/>
      <c r="J334" s="510"/>
      <c r="K334" s="510"/>
      <c r="L334" s="510"/>
    </row>
    <row r="335" spans="2:12">
      <c r="B335" s="510"/>
      <c r="C335" s="510"/>
      <c r="D335" s="510"/>
      <c r="E335" s="510"/>
      <c r="F335" s="510"/>
      <c r="G335" s="510"/>
      <c r="H335" s="510"/>
      <c r="I335" s="510"/>
      <c r="J335" s="510"/>
      <c r="K335" s="510"/>
      <c r="L335" s="510"/>
    </row>
    <row r="336" spans="2:12">
      <c r="B336" s="510"/>
      <c r="C336" s="510"/>
      <c r="D336" s="510"/>
      <c r="E336" s="510"/>
      <c r="F336" s="510"/>
      <c r="G336" s="510"/>
      <c r="H336" s="510"/>
      <c r="I336" s="510"/>
      <c r="J336" s="510"/>
      <c r="K336" s="510"/>
      <c r="L336" s="510"/>
    </row>
    <row r="337" spans="2:12">
      <c r="B337" s="510"/>
      <c r="C337" s="510"/>
      <c r="D337" s="510"/>
      <c r="E337" s="510"/>
      <c r="F337" s="510"/>
      <c r="G337" s="510"/>
      <c r="H337" s="510"/>
      <c r="I337" s="510"/>
      <c r="J337" s="510"/>
      <c r="K337" s="510"/>
      <c r="L337" s="510"/>
    </row>
    <row r="338" spans="2:12">
      <c r="B338" s="510"/>
      <c r="C338" s="510"/>
      <c r="D338" s="510"/>
      <c r="E338" s="510"/>
      <c r="F338" s="510"/>
      <c r="G338" s="510"/>
      <c r="H338" s="510"/>
      <c r="I338" s="510"/>
      <c r="J338" s="510"/>
      <c r="K338" s="510"/>
      <c r="L338" s="510"/>
    </row>
    <row r="339" spans="2:12">
      <c r="B339" s="510"/>
      <c r="C339" s="510"/>
      <c r="D339" s="510"/>
      <c r="E339" s="510"/>
      <c r="F339" s="510"/>
      <c r="G339" s="510"/>
      <c r="H339" s="510"/>
      <c r="I339" s="510"/>
      <c r="J339" s="510"/>
      <c r="K339" s="510"/>
      <c r="L339" s="510"/>
    </row>
    <row r="340" spans="2:12">
      <c r="B340" s="510"/>
      <c r="C340" s="510"/>
      <c r="D340" s="510"/>
      <c r="E340" s="510"/>
      <c r="F340" s="510"/>
      <c r="G340" s="510"/>
      <c r="H340" s="510"/>
      <c r="I340" s="510"/>
      <c r="J340" s="510"/>
      <c r="K340" s="510"/>
      <c r="L340" s="510"/>
    </row>
    <row r="341" spans="2:12">
      <c r="B341" s="510"/>
      <c r="C341" s="510"/>
      <c r="D341" s="510"/>
      <c r="E341" s="510"/>
      <c r="F341" s="510"/>
      <c r="G341" s="510"/>
      <c r="H341" s="510"/>
      <c r="I341" s="510"/>
      <c r="J341" s="510"/>
      <c r="K341" s="510"/>
      <c r="L341" s="510"/>
    </row>
    <row r="342" spans="2:12">
      <c r="B342" s="510"/>
      <c r="C342" s="510"/>
      <c r="D342" s="510"/>
      <c r="E342" s="510"/>
      <c r="F342" s="510"/>
      <c r="G342" s="510"/>
      <c r="H342" s="510"/>
      <c r="I342" s="510"/>
      <c r="J342" s="510"/>
      <c r="K342" s="510"/>
      <c r="L342" s="510"/>
    </row>
    <row r="343" spans="2:12">
      <c r="B343" s="510"/>
      <c r="C343" s="510"/>
      <c r="D343" s="510"/>
      <c r="E343" s="510"/>
      <c r="F343" s="510"/>
      <c r="G343" s="510"/>
      <c r="H343" s="510"/>
      <c r="I343" s="510"/>
      <c r="J343" s="510"/>
      <c r="K343" s="510"/>
      <c r="L343" s="510"/>
    </row>
    <row r="344" spans="2:12">
      <c r="B344" s="510"/>
      <c r="C344" s="510"/>
      <c r="D344" s="510"/>
      <c r="E344" s="510"/>
      <c r="F344" s="510"/>
      <c r="G344" s="510"/>
      <c r="H344" s="510"/>
      <c r="I344" s="510"/>
      <c r="J344" s="510"/>
      <c r="K344" s="510"/>
      <c r="L344" s="510"/>
    </row>
    <row r="345" spans="2:12">
      <c r="B345" s="510"/>
      <c r="C345" s="510"/>
      <c r="D345" s="510"/>
      <c r="E345" s="510"/>
      <c r="F345" s="510"/>
      <c r="G345" s="510"/>
      <c r="H345" s="510"/>
      <c r="I345" s="510"/>
      <c r="J345" s="510"/>
      <c r="K345" s="510"/>
      <c r="L345" s="510"/>
    </row>
    <row r="346" spans="2:12">
      <c r="B346" s="510"/>
      <c r="C346" s="510"/>
      <c r="D346" s="510"/>
      <c r="E346" s="510"/>
      <c r="F346" s="510"/>
      <c r="G346" s="510"/>
      <c r="H346" s="510"/>
      <c r="I346" s="510"/>
      <c r="J346" s="510"/>
      <c r="K346" s="510"/>
      <c r="L346" s="510"/>
    </row>
    <row r="347" spans="2:12">
      <c r="B347" s="510"/>
      <c r="C347" s="510"/>
      <c r="D347" s="510"/>
      <c r="E347" s="510"/>
      <c r="F347" s="510"/>
      <c r="G347" s="510"/>
      <c r="H347" s="510"/>
      <c r="I347" s="510"/>
      <c r="J347" s="510"/>
      <c r="K347" s="510"/>
      <c r="L347" s="510"/>
    </row>
    <row r="348" spans="2:12">
      <c r="B348" s="510"/>
      <c r="C348" s="510"/>
      <c r="D348" s="510"/>
      <c r="E348" s="510"/>
      <c r="F348" s="510"/>
      <c r="G348" s="510"/>
      <c r="H348" s="510"/>
      <c r="I348" s="510"/>
      <c r="J348" s="510"/>
      <c r="K348" s="510"/>
      <c r="L348" s="510"/>
    </row>
    <row r="349" spans="2:12">
      <c r="B349" s="510"/>
      <c r="C349" s="510"/>
      <c r="D349" s="510"/>
      <c r="E349" s="510"/>
      <c r="F349" s="510"/>
      <c r="G349" s="510"/>
      <c r="H349" s="510"/>
      <c r="I349" s="510"/>
      <c r="J349" s="510"/>
      <c r="K349" s="510"/>
      <c r="L349" s="510"/>
    </row>
    <row r="350" spans="2:12">
      <c r="B350" s="510"/>
      <c r="C350" s="510"/>
      <c r="D350" s="510"/>
      <c r="E350" s="510"/>
      <c r="F350" s="510"/>
      <c r="G350" s="510"/>
      <c r="H350" s="510"/>
      <c r="I350" s="510"/>
      <c r="J350" s="510"/>
      <c r="K350" s="510"/>
      <c r="L350" s="510"/>
    </row>
    <row r="351" spans="2:12">
      <c r="B351" s="510"/>
      <c r="C351" s="510"/>
      <c r="D351" s="510"/>
      <c r="E351" s="510"/>
      <c r="F351" s="510"/>
      <c r="G351" s="510"/>
      <c r="H351" s="510"/>
      <c r="I351" s="510"/>
      <c r="J351" s="510"/>
      <c r="K351" s="510"/>
      <c r="L351" s="510"/>
    </row>
    <row r="352" spans="2:12">
      <c r="B352" s="510"/>
      <c r="C352" s="510"/>
      <c r="D352" s="510"/>
      <c r="E352" s="510"/>
      <c r="F352" s="510"/>
      <c r="G352" s="510"/>
      <c r="H352" s="510"/>
      <c r="I352" s="510"/>
      <c r="J352" s="510"/>
      <c r="K352" s="510"/>
      <c r="L352" s="510"/>
    </row>
    <row r="353" spans="2:12">
      <c r="B353" s="510"/>
      <c r="C353" s="510"/>
      <c r="D353" s="510"/>
      <c r="E353" s="510"/>
      <c r="F353" s="510"/>
      <c r="G353" s="510"/>
      <c r="H353" s="510"/>
      <c r="I353" s="510"/>
      <c r="J353" s="510"/>
      <c r="K353" s="510"/>
      <c r="L353" s="510"/>
    </row>
    <row r="354" spans="2:12">
      <c r="B354" s="510"/>
      <c r="C354" s="510"/>
      <c r="D354" s="510"/>
      <c r="E354" s="510"/>
      <c r="F354" s="510"/>
      <c r="G354" s="510"/>
      <c r="H354" s="510"/>
      <c r="I354" s="510"/>
      <c r="J354" s="510"/>
      <c r="K354" s="510"/>
      <c r="L354" s="510"/>
    </row>
    <row r="355" spans="2:12">
      <c r="B355" s="510"/>
      <c r="C355" s="510"/>
      <c r="D355" s="510"/>
      <c r="E355" s="510"/>
      <c r="F355" s="510"/>
      <c r="G355" s="510"/>
      <c r="H355" s="510"/>
      <c r="I355" s="510"/>
      <c r="J355" s="510"/>
      <c r="K355" s="510"/>
      <c r="L355" s="510"/>
    </row>
    <row r="356" spans="2:12">
      <c r="B356" s="510"/>
      <c r="C356" s="510"/>
      <c r="D356" s="510"/>
      <c r="E356" s="510"/>
      <c r="F356" s="510"/>
      <c r="G356" s="510"/>
      <c r="H356" s="510"/>
      <c r="I356" s="510"/>
      <c r="J356" s="510"/>
      <c r="K356" s="510"/>
      <c r="L356" s="510"/>
    </row>
    <row r="357" spans="2:12">
      <c r="B357" s="510"/>
      <c r="C357" s="510"/>
      <c r="D357" s="510"/>
      <c r="E357" s="510"/>
      <c r="F357" s="510"/>
      <c r="G357" s="510"/>
      <c r="H357" s="510"/>
      <c r="I357" s="510"/>
      <c r="J357" s="510"/>
      <c r="K357" s="510"/>
      <c r="L357" s="510"/>
    </row>
    <row r="358" spans="2:12">
      <c r="B358" s="510"/>
      <c r="C358" s="510"/>
      <c r="D358" s="510"/>
      <c r="E358" s="510"/>
      <c r="F358" s="510"/>
      <c r="G358" s="510"/>
      <c r="H358" s="510"/>
      <c r="I358" s="510"/>
      <c r="J358" s="510"/>
      <c r="K358" s="510"/>
      <c r="L358" s="510"/>
    </row>
    <row r="359" spans="2:12">
      <c r="B359" s="510"/>
      <c r="C359" s="510"/>
      <c r="D359" s="510"/>
      <c r="E359" s="510"/>
      <c r="F359" s="510"/>
      <c r="G359" s="510"/>
      <c r="H359" s="510"/>
      <c r="I359" s="510"/>
      <c r="J359" s="510"/>
      <c r="K359" s="510"/>
      <c r="L359" s="510"/>
    </row>
    <row r="360" spans="2:12">
      <c r="B360" s="510"/>
      <c r="C360" s="510"/>
      <c r="D360" s="510"/>
      <c r="E360" s="510"/>
      <c r="F360" s="510"/>
      <c r="G360" s="510"/>
      <c r="H360" s="510"/>
      <c r="I360" s="510"/>
      <c r="J360" s="510"/>
      <c r="K360" s="510"/>
      <c r="L360" s="510"/>
    </row>
    <row r="361" spans="2:12">
      <c r="B361" s="510"/>
      <c r="C361" s="510"/>
      <c r="D361" s="510"/>
      <c r="E361" s="510"/>
      <c r="F361" s="510"/>
      <c r="G361" s="510"/>
      <c r="H361" s="510"/>
      <c r="I361" s="510"/>
      <c r="J361" s="510"/>
      <c r="K361" s="510"/>
      <c r="L361" s="510"/>
    </row>
    <row r="362" spans="2:12">
      <c r="B362" s="510"/>
      <c r="C362" s="510"/>
      <c r="D362" s="510"/>
      <c r="E362" s="510"/>
      <c r="F362" s="510"/>
      <c r="G362" s="510"/>
      <c r="H362" s="510"/>
      <c r="I362" s="510"/>
      <c r="J362" s="510"/>
      <c r="K362" s="510"/>
      <c r="L362" s="510"/>
    </row>
    <row r="363" spans="2:12">
      <c r="B363" s="510"/>
      <c r="C363" s="510"/>
      <c r="D363" s="510"/>
      <c r="E363" s="510"/>
      <c r="F363" s="510"/>
      <c r="G363" s="510"/>
      <c r="H363" s="510"/>
      <c r="I363" s="510"/>
      <c r="J363" s="510"/>
      <c r="K363" s="510"/>
      <c r="L363" s="510"/>
    </row>
    <row r="364" spans="2:12">
      <c r="B364" s="510"/>
      <c r="C364" s="510"/>
      <c r="D364" s="510"/>
      <c r="E364" s="510"/>
      <c r="F364" s="510"/>
      <c r="G364" s="510"/>
      <c r="H364" s="510"/>
      <c r="I364" s="510"/>
      <c r="J364" s="510"/>
      <c r="K364" s="510"/>
      <c r="L364" s="510"/>
    </row>
    <row r="365" spans="2:12">
      <c r="B365" s="510"/>
      <c r="C365" s="510"/>
      <c r="D365" s="510"/>
      <c r="E365" s="510"/>
      <c r="F365" s="510"/>
      <c r="G365" s="510"/>
      <c r="H365" s="510"/>
      <c r="I365" s="510"/>
      <c r="J365" s="510"/>
      <c r="K365" s="510"/>
      <c r="L365" s="510"/>
    </row>
    <row r="366" spans="2:12">
      <c r="B366" s="510"/>
      <c r="C366" s="510"/>
      <c r="D366" s="510"/>
      <c r="E366" s="510"/>
      <c r="F366" s="510"/>
      <c r="G366" s="510"/>
      <c r="H366" s="510"/>
      <c r="I366" s="510"/>
      <c r="J366" s="510"/>
      <c r="K366" s="510"/>
      <c r="L366" s="510"/>
    </row>
    <row r="367" spans="2:12">
      <c r="B367" s="510"/>
      <c r="C367" s="510"/>
      <c r="D367" s="510"/>
      <c r="E367" s="510"/>
      <c r="F367" s="510"/>
      <c r="G367" s="510"/>
      <c r="H367" s="510"/>
      <c r="I367" s="510"/>
      <c r="J367" s="510"/>
      <c r="K367" s="510"/>
      <c r="L367" s="510"/>
    </row>
    <row r="368" spans="2:12">
      <c r="B368" s="510"/>
      <c r="C368" s="510"/>
      <c r="D368" s="510"/>
      <c r="E368" s="510"/>
      <c r="F368" s="510"/>
      <c r="G368" s="510"/>
      <c r="H368" s="510"/>
      <c r="I368" s="510"/>
      <c r="J368" s="510"/>
      <c r="K368" s="510"/>
      <c r="L368" s="510"/>
    </row>
    <row r="369" spans="2:12">
      <c r="B369" s="510"/>
      <c r="C369" s="510"/>
      <c r="D369" s="510"/>
      <c r="E369" s="510"/>
      <c r="F369" s="510"/>
      <c r="G369" s="510"/>
      <c r="H369" s="510"/>
      <c r="I369" s="510"/>
      <c r="J369" s="510"/>
      <c r="K369" s="510"/>
      <c r="L369" s="510"/>
    </row>
    <row r="370" spans="2:12">
      <c r="B370" s="510"/>
      <c r="C370" s="510"/>
      <c r="D370" s="510"/>
      <c r="E370" s="510"/>
      <c r="F370" s="510"/>
      <c r="G370" s="510"/>
      <c r="H370" s="510"/>
      <c r="I370" s="510"/>
      <c r="J370" s="510"/>
      <c r="K370" s="510"/>
      <c r="L370" s="510"/>
    </row>
    <row r="371" spans="2:12">
      <c r="B371" s="510"/>
      <c r="C371" s="510"/>
      <c r="D371" s="510"/>
      <c r="E371" s="510"/>
      <c r="F371" s="510"/>
      <c r="G371" s="510"/>
      <c r="H371" s="510"/>
      <c r="I371" s="510"/>
      <c r="J371" s="510"/>
      <c r="K371" s="510"/>
      <c r="L371" s="510"/>
    </row>
    <row r="372" spans="2:12">
      <c r="B372" s="510"/>
      <c r="C372" s="510"/>
      <c r="D372" s="510"/>
      <c r="E372" s="510"/>
      <c r="F372" s="510"/>
      <c r="G372" s="510"/>
      <c r="H372" s="510"/>
      <c r="I372" s="510"/>
      <c r="J372" s="510"/>
      <c r="K372" s="510"/>
      <c r="L372" s="510"/>
    </row>
    <row r="373" spans="2:12">
      <c r="B373" s="510"/>
      <c r="C373" s="510"/>
      <c r="D373" s="510"/>
      <c r="E373" s="510"/>
      <c r="F373" s="510"/>
      <c r="G373" s="510"/>
      <c r="H373" s="510"/>
      <c r="I373" s="510"/>
      <c r="J373" s="510"/>
      <c r="K373" s="510"/>
      <c r="L373" s="510"/>
    </row>
    <row r="374" spans="2:12">
      <c r="B374" s="510"/>
      <c r="C374" s="510"/>
      <c r="D374" s="510"/>
      <c r="E374" s="510"/>
      <c r="F374" s="510"/>
      <c r="G374" s="510"/>
      <c r="H374" s="510"/>
      <c r="I374" s="510"/>
      <c r="J374" s="510"/>
      <c r="K374" s="510"/>
      <c r="L374" s="510"/>
    </row>
    <row r="375" spans="2:12">
      <c r="B375" s="510"/>
      <c r="C375" s="510"/>
      <c r="D375" s="510"/>
      <c r="E375" s="510"/>
      <c r="F375" s="510"/>
      <c r="G375" s="510"/>
      <c r="H375" s="510"/>
      <c r="I375" s="510"/>
      <c r="J375" s="510"/>
      <c r="K375" s="510"/>
      <c r="L375" s="510"/>
    </row>
    <row r="376" spans="2:12">
      <c r="B376" s="510"/>
      <c r="C376" s="510"/>
      <c r="D376" s="510"/>
      <c r="E376" s="510"/>
      <c r="F376" s="510"/>
      <c r="G376" s="510"/>
      <c r="H376" s="510"/>
      <c r="I376" s="510"/>
      <c r="J376" s="510"/>
      <c r="K376" s="510"/>
      <c r="L376" s="510"/>
    </row>
    <row r="377" spans="2:12">
      <c r="B377" s="510"/>
      <c r="C377" s="510"/>
      <c r="D377" s="510"/>
      <c r="E377" s="510"/>
      <c r="F377" s="510"/>
      <c r="G377" s="510"/>
      <c r="H377" s="510"/>
      <c r="I377" s="510"/>
      <c r="J377" s="510"/>
      <c r="K377" s="510"/>
      <c r="L377" s="510"/>
    </row>
    <row r="378" spans="2:12">
      <c r="B378" s="510"/>
      <c r="C378" s="510"/>
      <c r="D378" s="510"/>
      <c r="E378" s="510"/>
      <c r="F378" s="510"/>
      <c r="G378" s="510"/>
      <c r="H378" s="510"/>
      <c r="I378" s="510"/>
      <c r="J378" s="510"/>
      <c r="K378" s="510"/>
      <c r="L378" s="510"/>
    </row>
    <row r="379" spans="2:12">
      <c r="B379" s="510"/>
      <c r="C379" s="510"/>
      <c r="D379" s="510"/>
      <c r="E379" s="510"/>
      <c r="F379" s="510"/>
      <c r="G379" s="510"/>
      <c r="H379" s="510"/>
      <c r="I379" s="510"/>
      <c r="J379" s="510"/>
      <c r="K379" s="510"/>
      <c r="L379" s="510"/>
    </row>
    <row r="380" spans="2:12">
      <c r="B380" s="510"/>
      <c r="C380" s="510"/>
      <c r="D380" s="510"/>
      <c r="E380" s="510"/>
      <c r="F380" s="510"/>
      <c r="G380" s="510"/>
      <c r="H380" s="510"/>
      <c r="I380" s="510"/>
      <c r="J380" s="510"/>
      <c r="K380" s="510"/>
      <c r="L380" s="510"/>
    </row>
    <row r="381" spans="2:12">
      <c r="B381" s="510"/>
      <c r="C381" s="510"/>
      <c r="D381" s="510"/>
      <c r="E381" s="510"/>
      <c r="F381" s="510"/>
      <c r="G381" s="510"/>
      <c r="H381" s="510"/>
      <c r="I381" s="510"/>
      <c r="J381" s="510"/>
      <c r="K381" s="510"/>
      <c r="L381" s="510"/>
    </row>
    <row r="382" spans="2:12">
      <c r="B382" s="510"/>
      <c r="C382" s="510"/>
      <c r="D382" s="510"/>
      <c r="E382" s="510"/>
      <c r="F382" s="510"/>
      <c r="G382" s="510"/>
      <c r="H382" s="510"/>
      <c r="I382" s="510"/>
      <c r="J382" s="510"/>
      <c r="K382" s="510"/>
      <c r="L382" s="510"/>
    </row>
    <row r="383" spans="2:12">
      <c r="B383" s="510"/>
      <c r="C383" s="510"/>
      <c r="D383" s="510"/>
      <c r="E383" s="510"/>
      <c r="F383" s="510"/>
      <c r="G383" s="510"/>
      <c r="H383" s="510"/>
      <c r="I383" s="510"/>
      <c r="J383" s="510"/>
      <c r="K383" s="510"/>
      <c r="L383" s="510"/>
    </row>
    <row r="384" spans="2:12">
      <c r="B384" s="510"/>
      <c r="C384" s="510"/>
      <c r="D384" s="510"/>
      <c r="E384" s="510"/>
      <c r="F384" s="510"/>
      <c r="G384" s="510"/>
      <c r="H384" s="510"/>
      <c r="I384" s="510"/>
      <c r="J384" s="510"/>
      <c r="K384" s="510"/>
      <c r="L384" s="510"/>
    </row>
    <row r="385" spans="2:12">
      <c r="B385" s="510"/>
      <c r="C385" s="510"/>
      <c r="D385" s="510"/>
      <c r="E385" s="510"/>
      <c r="F385" s="510"/>
      <c r="G385" s="510"/>
      <c r="H385" s="510"/>
      <c r="I385" s="510"/>
      <c r="J385" s="510"/>
      <c r="K385" s="510"/>
      <c r="L385" s="510"/>
    </row>
    <row r="386" spans="2:12">
      <c r="B386" s="510"/>
      <c r="C386" s="510"/>
      <c r="D386" s="510"/>
      <c r="E386" s="510"/>
      <c r="F386" s="510"/>
      <c r="G386" s="510"/>
      <c r="H386" s="510"/>
      <c r="I386" s="510"/>
      <c r="J386" s="510"/>
      <c r="K386" s="510"/>
      <c r="L386" s="510"/>
    </row>
    <row r="387" spans="2:12">
      <c r="B387" s="510"/>
      <c r="C387" s="510"/>
      <c r="D387" s="510"/>
      <c r="E387" s="510"/>
      <c r="F387" s="510"/>
      <c r="G387" s="510"/>
      <c r="H387" s="510"/>
      <c r="I387" s="510"/>
      <c r="J387" s="510"/>
      <c r="K387" s="510"/>
      <c r="L387" s="510"/>
    </row>
    <row r="388" spans="2:12">
      <c r="B388" s="510"/>
      <c r="C388" s="510"/>
      <c r="D388" s="510"/>
      <c r="E388" s="510"/>
      <c r="F388" s="510"/>
      <c r="G388" s="510"/>
      <c r="H388" s="510"/>
      <c r="I388" s="510"/>
      <c r="J388" s="510"/>
      <c r="K388" s="510"/>
      <c r="L388" s="510"/>
    </row>
    <row r="389" spans="2:12">
      <c r="B389" s="510"/>
      <c r="C389" s="510"/>
      <c r="D389" s="510"/>
      <c r="E389" s="510"/>
      <c r="F389" s="510"/>
      <c r="G389" s="510"/>
      <c r="H389" s="510"/>
      <c r="I389" s="510"/>
      <c r="J389" s="510"/>
      <c r="K389" s="510"/>
      <c r="L389" s="510"/>
    </row>
    <row r="390" spans="2:12">
      <c r="B390" s="510"/>
      <c r="C390" s="510"/>
      <c r="D390" s="510"/>
      <c r="E390" s="510"/>
      <c r="F390" s="510"/>
      <c r="G390" s="510"/>
      <c r="H390" s="510"/>
      <c r="I390" s="510"/>
      <c r="J390" s="510"/>
      <c r="K390" s="510"/>
      <c r="L390" s="510"/>
    </row>
    <row r="391" spans="2:12">
      <c r="B391" s="510"/>
      <c r="C391" s="510"/>
      <c r="D391" s="510"/>
      <c r="E391" s="510"/>
      <c r="F391" s="510"/>
      <c r="G391" s="510"/>
      <c r="H391" s="510"/>
      <c r="I391" s="510"/>
      <c r="J391" s="510"/>
      <c r="K391" s="510"/>
      <c r="L391" s="510"/>
    </row>
    <row r="392" spans="2:12">
      <c r="B392" s="510"/>
      <c r="C392" s="510"/>
      <c r="D392" s="510"/>
      <c r="E392" s="510"/>
      <c r="F392" s="510"/>
      <c r="G392" s="510"/>
      <c r="H392" s="510"/>
      <c r="I392" s="510"/>
      <c r="J392" s="510"/>
      <c r="K392" s="510"/>
      <c r="L392" s="510"/>
    </row>
    <row r="393" spans="2:12">
      <c r="B393" s="510"/>
      <c r="C393" s="510"/>
      <c r="D393" s="510"/>
      <c r="E393" s="510"/>
      <c r="F393" s="510"/>
      <c r="G393" s="510"/>
      <c r="H393" s="510"/>
      <c r="I393" s="510"/>
      <c r="J393" s="510"/>
      <c r="K393" s="510"/>
      <c r="L393" s="510"/>
    </row>
    <row r="394" spans="2:12">
      <c r="B394" s="510"/>
      <c r="C394" s="510"/>
      <c r="D394" s="510"/>
      <c r="E394" s="510"/>
      <c r="F394" s="510"/>
      <c r="G394" s="510"/>
      <c r="H394" s="510"/>
      <c r="I394" s="510"/>
      <c r="J394" s="510"/>
      <c r="K394" s="510"/>
      <c r="L394" s="510"/>
    </row>
    <row r="395" spans="2:12">
      <c r="B395" s="510"/>
      <c r="C395" s="510"/>
      <c r="D395" s="510"/>
      <c r="E395" s="510"/>
      <c r="F395" s="510"/>
      <c r="G395" s="510"/>
      <c r="H395" s="510"/>
      <c r="I395" s="510"/>
      <c r="J395" s="510"/>
      <c r="K395" s="510"/>
      <c r="L395" s="510"/>
    </row>
    <row r="396" spans="2:12">
      <c r="B396" s="510"/>
      <c r="C396" s="510"/>
      <c r="D396" s="510"/>
      <c r="E396" s="510"/>
      <c r="F396" s="510"/>
      <c r="G396" s="510"/>
      <c r="H396" s="510"/>
      <c r="I396" s="510"/>
      <c r="J396" s="510"/>
      <c r="K396" s="510"/>
      <c r="L396" s="510"/>
    </row>
    <row r="397" spans="2:12">
      <c r="B397" s="510"/>
      <c r="C397" s="510"/>
      <c r="D397" s="510"/>
      <c r="E397" s="510"/>
      <c r="F397" s="510"/>
      <c r="G397" s="510"/>
      <c r="H397" s="510"/>
      <c r="I397" s="510"/>
      <c r="J397" s="510"/>
      <c r="K397" s="510"/>
      <c r="L397" s="510"/>
    </row>
    <row r="398" spans="2:12">
      <c r="B398" s="510"/>
      <c r="C398" s="510"/>
      <c r="D398" s="510"/>
      <c r="E398" s="510"/>
      <c r="F398" s="510"/>
      <c r="G398" s="510"/>
      <c r="H398" s="510"/>
      <c r="I398" s="510"/>
      <c r="J398" s="510"/>
      <c r="K398" s="510"/>
      <c r="L398" s="510"/>
    </row>
    <row r="399" spans="2:12">
      <c r="B399" s="510"/>
      <c r="C399" s="510"/>
      <c r="D399" s="510"/>
      <c r="E399" s="510"/>
      <c r="F399" s="510"/>
      <c r="G399" s="510"/>
      <c r="H399" s="510"/>
      <c r="I399" s="510"/>
      <c r="J399" s="510"/>
      <c r="K399" s="510"/>
      <c r="L399" s="510"/>
    </row>
    <row r="400" spans="2:12">
      <c r="B400" s="510"/>
      <c r="C400" s="510"/>
      <c r="D400" s="510"/>
      <c r="E400" s="510"/>
      <c r="F400" s="510"/>
      <c r="G400" s="510"/>
      <c r="H400" s="510"/>
      <c r="I400" s="510"/>
      <c r="J400" s="510"/>
      <c r="K400" s="510"/>
      <c r="L400" s="510"/>
    </row>
    <row r="401" spans="2:12">
      <c r="B401" s="510"/>
      <c r="C401" s="510"/>
      <c r="D401" s="510"/>
      <c r="E401" s="510"/>
      <c r="F401" s="510"/>
      <c r="G401" s="510"/>
      <c r="H401" s="510"/>
      <c r="I401" s="510"/>
      <c r="J401" s="510"/>
      <c r="K401" s="510"/>
      <c r="L401" s="510"/>
    </row>
    <row r="402" spans="2:12">
      <c r="B402" s="510"/>
      <c r="C402" s="510"/>
      <c r="D402" s="510"/>
      <c r="E402" s="510"/>
      <c r="F402" s="510"/>
      <c r="G402" s="510"/>
      <c r="H402" s="510"/>
      <c r="I402" s="510"/>
      <c r="J402" s="510"/>
      <c r="K402" s="510"/>
      <c r="L402" s="510"/>
    </row>
    <row r="403" spans="2:12">
      <c r="B403" s="510"/>
      <c r="C403" s="510"/>
      <c r="D403" s="510"/>
      <c r="E403" s="510"/>
      <c r="F403" s="510"/>
      <c r="G403" s="510"/>
      <c r="H403" s="510"/>
      <c r="I403" s="510"/>
      <c r="J403" s="510"/>
      <c r="K403" s="510"/>
      <c r="L403" s="510"/>
    </row>
    <row r="404" spans="2:12">
      <c r="B404" s="510"/>
      <c r="C404" s="510"/>
      <c r="D404" s="510"/>
      <c r="E404" s="510"/>
      <c r="F404" s="510"/>
      <c r="G404" s="510"/>
      <c r="H404" s="510"/>
      <c r="I404" s="510"/>
      <c r="J404" s="510"/>
      <c r="K404" s="510"/>
      <c r="L404" s="510"/>
    </row>
    <row r="405" spans="2:12">
      <c r="B405" s="510"/>
      <c r="C405" s="510"/>
      <c r="D405" s="510"/>
      <c r="E405" s="510"/>
      <c r="F405" s="510"/>
      <c r="G405" s="510"/>
      <c r="H405" s="510"/>
      <c r="I405" s="510"/>
      <c r="J405" s="510"/>
      <c r="K405" s="510"/>
      <c r="L405" s="510"/>
    </row>
    <row r="406" spans="2:12">
      <c r="B406" s="510"/>
      <c r="C406" s="510"/>
      <c r="D406" s="510"/>
      <c r="E406" s="510"/>
      <c r="F406" s="510"/>
      <c r="G406" s="510"/>
      <c r="H406" s="510"/>
      <c r="I406" s="510"/>
      <c r="J406" s="510"/>
      <c r="K406" s="510"/>
      <c r="L406" s="510"/>
    </row>
    <row r="407" spans="2:12">
      <c r="B407" s="510"/>
      <c r="C407" s="510"/>
      <c r="D407" s="510"/>
      <c r="E407" s="510"/>
      <c r="F407" s="510"/>
      <c r="G407" s="510"/>
      <c r="H407" s="510"/>
      <c r="I407" s="510"/>
      <c r="J407" s="510"/>
      <c r="K407" s="510"/>
      <c r="L407" s="510"/>
    </row>
    <row r="408" spans="2:12">
      <c r="B408" s="510"/>
      <c r="C408" s="510"/>
      <c r="D408" s="510"/>
      <c r="E408" s="510"/>
      <c r="F408" s="510"/>
      <c r="G408" s="510"/>
      <c r="H408" s="510"/>
      <c r="I408" s="510"/>
      <c r="J408" s="510"/>
      <c r="K408" s="510"/>
      <c r="L408" s="510"/>
    </row>
    <row r="409" spans="2:12">
      <c r="B409" s="510"/>
      <c r="C409" s="510"/>
      <c r="D409" s="510"/>
      <c r="E409" s="510"/>
      <c r="F409" s="510"/>
      <c r="G409" s="510"/>
      <c r="H409" s="510"/>
      <c r="I409" s="510"/>
      <c r="J409" s="510"/>
      <c r="K409" s="510"/>
      <c r="L409" s="510"/>
    </row>
    <row r="410" spans="2:12">
      <c r="B410" s="510"/>
      <c r="C410" s="510"/>
      <c r="D410" s="510"/>
      <c r="E410" s="510"/>
      <c r="F410" s="510"/>
      <c r="G410" s="510"/>
      <c r="H410" s="510"/>
      <c r="I410" s="510"/>
      <c r="J410" s="510"/>
      <c r="K410" s="510"/>
      <c r="L410" s="510"/>
    </row>
    <row r="411" spans="2:12">
      <c r="B411" s="510"/>
      <c r="C411" s="510"/>
      <c r="D411" s="510"/>
      <c r="E411" s="510"/>
      <c r="F411" s="510"/>
      <c r="G411" s="510"/>
      <c r="H411" s="510"/>
      <c r="I411" s="510"/>
      <c r="J411" s="510"/>
      <c r="K411" s="510"/>
      <c r="L411" s="510"/>
    </row>
    <row r="412" spans="2:12">
      <c r="B412" s="510"/>
      <c r="C412" s="510"/>
      <c r="D412" s="510"/>
      <c r="E412" s="510"/>
      <c r="F412" s="510"/>
      <c r="G412" s="510"/>
      <c r="H412" s="510"/>
      <c r="I412" s="510"/>
      <c r="J412" s="510"/>
      <c r="K412" s="510"/>
      <c r="L412" s="510"/>
    </row>
    <row r="413" spans="2:12">
      <c r="B413" s="510"/>
      <c r="C413" s="510"/>
      <c r="D413" s="510"/>
      <c r="E413" s="510"/>
      <c r="F413" s="510"/>
      <c r="G413" s="510"/>
      <c r="H413" s="510"/>
      <c r="I413" s="510"/>
      <c r="J413" s="510"/>
      <c r="K413" s="510"/>
      <c r="L413" s="510"/>
    </row>
    <row r="414" spans="2:12">
      <c r="B414" s="510"/>
      <c r="C414" s="510"/>
      <c r="D414" s="510"/>
      <c r="E414" s="510"/>
      <c r="F414" s="510"/>
      <c r="G414" s="510"/>
      <c r="H414" s="510"/>
      <c r="I414" s="510"/>
      <c r="J414" s="510"/>
      <c r="K414" s="510"/>
      <c r="L414" s="510"/>
    </row>
    <row r="415" spans="2:12">
      <c r="B415" s="510"/>
      <c r="C415" s="510"/>
      <c r="D415" s="510"/>
      <c r="E415" s="510"/>
      <c r="F415" s="510"/>
      <c r="G415" s="510"/>
      <c r="H415" s="510"/>
      <c r="I415" s="510"/>
      <c r="J415" s="510"/>
      <c r="K415" s="510"/>
      <c r="L415" s="510"/>
    </row>
    <row r="416" spans="2:12">
      <c r="B416" s="510"/>
      <c r="C416" s="510"/>
      <c r="D416" s="510"/>
      <c r="E416" s="510"/>
      <c r="F416" s="510"/>
      <c r="G416" s="510"/>
      <c r="H416" s="510"/>
      <c r="I416" s="510"/>
      <c r="J416" s="510"/>
      <c r="K416" s="510"/>
      <c r="L416" s="510"/>
    </row>
    <row r="417" spans="2:12">
      <c r="B417" s="510"/>
      <c r="C417" s="510"/>
      <c r="D417" s="510"/>
      <c r="E417" s="510"/>
      <c r="F417" s="510"/>
      <c r="G417" s="510"/>
      <c r="H417" s="510"/>
      <c r="I417" s="510"/>
      <c r="J417" s="510"/>
      <c r="K417" s="510"/>
      <c r="L417" s="510"/>
    </row>
    <row r="418" spans="2:12">
      <c r="B418" s="510"/>
      <c r="C418" s="510"/>
      <c r="D418" s="510"/>
      <c r="E418" s="510"/>
      <c r="F418" s="510"/>
      <c r="G418" s="510"/>
      <c r="H418" s="510"/>
      <c r="I418" s="510"/>
      <c r="J418" s="510"/>
      <c r="K418" s="510"/>
      <c r="L418" s="510"/>
    </row>
    <row r="419" spans="2:12">
      <c r="B419" s="510"/>
      <c r="C419" s="510"/>
      <c r="D419" s="510"/>
      <c r="E419" s="510"/>
      <c r="F419" s="510"/>
      <c r="G419" s="510"/>
      <c r="H419" s="510"/>
      <c r="I419" s="510"/>
      <c r="J419" s="510"/>
      <c r="K419" s="510"/>
      <c r="L419" s="510"/>
    </row>
    <row r="420" spans="2:12">
      <c r="B420" s="510"/>
      <c r="C420" s="510"/>
      <c r="D420" s="510"/>
      <c r="E420" s="510"/>
      <c r="F420" s="510"/>
      <c r="G420" s="510"/>
      <c r="H420" s="510"/>
      <c r="I420" s="510"/>
      <c r="J420" s="510"/>
      <c r="K420" s="510"/>
      <c r="L420" s="510"/>
    </row>
    <row r="421" spans="2:12">
      <c r="B421" s="510"/>
      <c r="C421" s="510"/>
      <c r="D421" s="510"/>
      <c r="E421" s="510"/>
      <c r="F421" s="510"/>
      <c r="G421" s="510"/>
      <c r="H421" s="510"/>
      <c r="I421" s="510"/>
      <c r="J421" s="510"/>
      <c r="K421" s="510"/>
      <c r="L421" s="510"/>
    </row>
    <row r="422" spans="2:12">
      <c r="B422" s="510"/>
      <c r="C422" s="510"/>
      <c r="D422" s="510"/>
      <c r="E422" s="510"/>
      <c r="F422" s="510"/>
      <c r="G422" s="510"/>
      <c r="H422" s="510"/>
      <c r="I422" s="510"/>
      <c r="J422" s="510"/>
      <c r="K422" s="510"/>
      <c r="L422" s="510"/>
    </row>
    <row r="423" spans="2:12">
      <c r="B423" s="510"/>
      <c r="C423" s="510"/>
      <c r="D423" s="510"/>
      <c r="E423" s="510"/>
      <c r="F423" s="510"/>
      <c r="G423" s="510"/>
      <c r="H423" s="510"/>
      <c r="I423" s="510"/>
      <c r="J423" s="510"/>
      <c r="K423" s="510"/>
      <c r="L423" s="510"/>
    </row>
    <row r="424" spans="2:12">
      <c r="B424" s="510"/>
      <c r="C424" s="510"/>
      <c r="D424" s="510"/>
      <c r="E424" s="510"/>
      <c r="F424" s="510"/>
      <c r="G424" s="510"/>
      <c r="H424" s="510"/>
      <c r="I424" s="510"/>
      <c r="J424" s="510"/>
      <c r="K424" s="510"/>
      <c r="L424" s="510"/>
    </row>
    <row r="425" spans="2:12">
      <c r="B425" s="510"/>
      <c r="C425" s="510"/>
      <c r="D425" s="510"/>
      <c r="E425" s="510"/>
      <c r="F425" s="510"/>
      <c r="G425" s="510"/>
      <c r="H425" s="510"/>
      <c r="I425" s="510"/>
      <c r="J425" s="510"/>
      <c r="K425" s="510"/>
      <c r="L425" s="510"/>
    </row>
    <row r="426" spans="2:12">
      <c r="B426" s="510"/>
      <c r="C426" s="510"/>
      <c r="D426" s="510"/>
      <c r="E426" s="510"/>
      <c r="F426" s="510"/>
      <c r="G426" s="510"/>
      <c r="H426" s="510"/>
      <c r="I426" s="510"/>
      <c r="J426" s="510"/>
      <c r="K426" s="510"/>
      <c r="L426" s="510"/>
    </row>
    <row r="427" spans="2:12">
      <c r="B427" s="510"/>
      <c r="C427" s="510"/>
      <c r="D427" s="510"/>
      <c r="E427" s="510"/>
      <c r="F427" s="510"/>
      <c r="G427" s="510"/>
      <c r="H427" s="510"/>
      <c r="I427" s="510"/>
      <c r="J427" s="510"/>
      <c r="K427" s="510"/>
      <c r="L427" s="510"/>
    </row>
    <row r="428" spans="2:12">
      <c r="B428" s="510"/>
      <c r="C428" s="510"/>
      <c r="D428" s="510"/>
      <c r="E428" s="510"/>
      <c r="F428" s="510"/>
      <c r="G428" s="510"/>
      <c r="H428" s="510"/>
      <c r="I428" s="510"/>
      <c r="J428" s="510"/>
      <c r="K428" s="510"/>
      <c r="L428" s="510"/>
    </row>
    <row r="429" spans="2:12">
      <c r="B429" s="510"/>
      <c r="C429" s="510"/>
      <c r="D429" s="510"/>
      <c r="E429" s="510"/>
      <c r="F429" s="510"/>
      <c r="G429" s="510"/>
      <c r="H429" s="510"/>
      <c r="I429" s="510"/>
      <c r="J429" s="510"/>
      <c r="K429" s="510"/>
      <c r="L429" s="510"/>
    </row>
    <row r="430" spans="2:12">
      <c r="B430" s="510"/>
      <c r="C430" s="510"/>
      <c r="D430" s="510"/>
      <c r="E430" s="510"/>
      <c r="F430" s="510"/>
      <c r="G430" s="510"/>
      <c r="H430" s="510"/>
      <c r="I430" s="510"/>
      <c r="J430" s="510"/>
      <c r="K430" s="510"/>
      <c r="L430" s="510"/>
    </row>
    <row r="431" spans="2:12">
      <c r="B431" s="510"/>
      <c r="C431" s="510"/>
      <c r="D431" s="510"/>
      <c r="E431" s="510"/>
      <c r="F431" s="510"/>
      <c r="G431" s="510"/>
      <c r="H431" s="510"/>
      <c r="I431" s="510"/>
      <c r="J431" s="510"/>
      <c r="K431" s="510"/>
      <c r="L431" s="510"/>
    </row>
    <row r="432" spans="2:12">
      <c r="B432" s="510"/>
      <c r="C432" s="510"/>
      <c r="D432" s="510"/>
      <c r="E432" s="510"/>
      <c r="F432" s="510"/>
      <c r="G432" s="510"/>
      <c r="H432" s="510"/>
      <c r="I432" s="510"/>
      <c r="J432" s="510"/>
      <c r="K432" s="510"/>
      <c r="L432" s="510"/>
    </row>
    <row r="433" spans="2:12">
      <c r="B433" s="510"/>
      <c r="C433" s="510"/>
      <c r="D433" s="510"/>
      <c r="E433" s="510"/>
      <c r="F433" s="510"/>
      <c r="G433" s="510"/>
      <c r="H433" s="510"/>
      <c r="I433" s="510"/>
      <c r="J433" s="510"/>
      <c r="K433" s="510"/>
      <c r="L433" s="510"/>
    </row>
    <row r="434" spans="2:12">
      <c r="B434" s="510"/>
      <c r="C434" s="510"/>
      <c r="D434" s="510"/>
      <c r="E434" s="510"/>
      <c r="F434" s="510"/>
      <c r="G434" s="510"/>
      <c r="H434" s="510"/>
      <c r="I434" s="510"/>
      <c r="J434" s="510"/>
      <c r="K434" s="510"/>
      <c r="L434" s="510"/>
    </row>
    <row r="435" spans="2:12">
      <c r="B435" s="510"/>
      <c r="C435" s="510"/>
      <c r="D435" s="510"/>
      <c r="E435" s="510"/>
      <c r="F435" s="510"/>
      <c r="G435" s="510"/>
      <c r="H435" s="510"/>
      <c r="I435" s="510"/>
      <c r="J435" s="510"/>
      <c r="K435" s="510"/>
      <c r="L435" s="510"/>
    </row>
    <row r="436" spans="2:12">
      <c r="B436" s="510"/>
      <c r="C436" s="510"/>
      <c r="D436" s="510"/>
      <c r="E436" s="510"/>
      <c r="F436" s="510"/>
      <c r="G436" s="510"/>
      <c r="H436" s="510"/>
      <c r="I436" s="510"/>
      <c r="J436" s="510"/>
      <c r="K436" s="510"/>
      <c r="L436" s="510"/>
    </row>
    <row r="437" spans="2:12">
      <c r="B437" s="510"/>
      <c r="C437" s="510"/>
      <c r="D437" s="510"/>
      <c r="E437" s="510"/>
      <c r="F437" s="510"/>
      <c r="G437" s="510"/>
      <c r="H437" s="510"/>
      <c r="I437" s="510"/>
      <c r="J437" s="510"/>
      <c r="K437" s="510"/>
      <c r="L437" s="510"/>
    </row>
    <row r="438" spans="2:12">
      <c r="B438" s="510"/>
      <c r="C438" s="510"/>
      <c r="D438" s="510"/>
      <c r="E438" s="510"/>
      <c r="F438" s="510"/>
      <c r="G438" s="510"/>
      <c r="H438" s="510"/>
      <c r="I438" s="510"/>
      <c r="J438" s="510"/>
      <c r="K438" s="510"/>
      <c r="L438" s="510"/>
    </row>
    <row r="439" spans="2:12">
      <c r="B439" s="510"/>
      <c r="C439" s="510"/>
      <c r="D439" s="510"/>
      <c r="E439" s="510"/>
      <c r="F439" s="510"/>
      <c r="G439" s="510"/>
      <c r="H439" s="510"/>
      <c r="I439" s="510"/>
      <c r="J439" s="510"/>
      <c r="K439" s="510"/>
      <c r="L439" s="510"/>
    </row>
    <row r="440" spans="2:12">
      <c r="B440" s="510"/>
      <c r="C440" s="510"/>
      <c r="D440" s="510"/>
      <c r="E440" s="510"/>
      <c r="F440" s="510"/>
      <c r="G440" s="510"/>
      <c r="H440" s="510"/>
      <c r="I440" s="510"/>
      <c r="J440" s="510"/>
      <c r="K440" s="510"/>
      <c r="L440" s="510"/>
    </row>
    <row r="441" spans="2:12">
      <c r="B441" s="510"/>
      <c r="C441" s="510"/>
      <c r="D441" s="510"/>
      <c r="E441" s="510"/>
      <c r="F441" s="510"/>
      <c r="G441" s="510"/>
      <c r="H441" s="510"/>
      <c r="I441" s="510"/>
      <c r="J441" s="510"/>
      <c r="K441" s="510"/>
      <c r="L441" s="510"/>
    </row>
    <row r="442" spans="2:12">
      <c r="B442" s="510"/>
      <c r="C442" s="510"/>
      <c r="D442" s="510"/>
      <c r="E442" s="510"/>
      <c r="F442" s="510"/>
      <c r="G442" s="510"/>
      <c r="H442" s="510"/>
      <c r="I442" s="510"/>
      <c r="J442" s="510"/>
      <c r="K442" s="510"/>
      <c r="L442" s="510"/>
    </row>
    <row r="443" spans="2:12">
      <c r="B443" s="510"/>
      <c r="C443" s="510"/>
      <c r="D443" s="510"/>
      <c r="E443" s="510"/>
      <c r="F443" s="510"/>
      <c r="G443" s="510"/>
      <c r="H443" s="510"/>
      <c r="I443" s="510"/>
      <c r="J443" s="510"/>
      <c r="K443" s="510"/>
      <c r="L443" s="510"/>
    </row>
    <row r="444" spans="2:12">
      <c r="B444" s="510"/>
      <c r="C444" s="510"/>
      <c r="D444" s="510"/>
      <c r="E444" s="510"/>
      <c r="F444" s="510"/>
      <c r="G444" s="510"/>
      <c r="H444" s="510"/>
      <c r="I444" s="510"/>
      <c r="J444" s="510"/>
      <c r="K444" s="510"/>
      <c r="L444" s="510"/>
    </row>
    <row r="445" spans="2:12">
      <c r="B445" s="510"/>
      <c r="C445" s="510"/>
      <c r="D445" s="510"/>
      <c r="E445" s="510"/>
      <c r="F445" s="510"/>
      <c r="G445" s="510"/>
      <c r="H445" s="510"/>
      <c r="I445" s="510"/>
      <c r="J445" s="510"/>
      <c r="K445" s="510"/>
      <c r="L445" s="510"/>
    </row>
    <row r="446" spans="2:12">
      <c r="B446" s="510"/>
      <c r="C446" s="510"/>
      <c r="D446" s="510"/>
      <c r="E446" s="510"/>
      <c r="F446" s="510"/>
      <c r="G446" s="510"/>
      <c r="H446" s="510"/>
      <c r="I446" s="510"/>
      <c r="J446" s="510"/>
      <c r="K446" s="510"/>
      <c r="L446" s="510"/>
    </row>
    <row r="447" spans="2:12">
      <c r="B447" s="510"/>
      <c r="C447" s="510"/>
      <c r="D447" s="510"/>
      <c r="E447" s="510"/>
      <c r="F447" s="510"/>
      <c r="G447" s="510"/>
      <c r="H447" s="510"/>
      <c r="I447" s="510"/>
      <c r="J447" s="510"/>
      <c r="K447" s="510"/>
      <c r="L447" s="510"/>
    </row>
    <row r="448" spans="2:12">
      <c r="B448" s="510"/>
      <c r="C448" s="510"/>
      <c r="D448" s="510"/>
      <c r="E448" s="510"/>
      <c r="F448" s="510"/>
      <c r="G448" s="510"/>
      <c r="H448" s="510"/>
      <c r="I448" s="510"/>
      <c r="J448" s="510"/>
      <c r="K448" s="510"/>
      <c r="L448" s="510"/>
    </row>
    <row r="449" spans="2:12">
      <c r="B449" s="510"/>
      <c r="C449" s="510"/>
      <c r="D449" s="510"/>
      <c r="E449" s="510"/>
      <c r="F449" s="510"/>
      <c r="G449" s="510"/>
      <c r="H449" s="510"/>
      <c r="I449" s="510"/>
      <c r="J449" s="510"/>
      <c r="K449" s="510"/>
      <c r="L449" s="510"/>
    </row>
    <row r="450" spans="2:12">
      <c r="B450" s="510"/>
      <c r="C450" s="510"/>
      <c r="D450" s="510"/>
      <c r="E450" s="510"/>
      <c r="F450" s="510"/>
      <c r="G450" s="510"/>
      <c r="H450" s="510"/>
      <c r="I450" s="510"/>
      <c r="J450" s="510"/>
      <c r="K450" s="510"/>
      <c r="L450" s="510"/>
    </row>
    <row r="451" spans="2:12">
      <c r="B451" s="510"/>
      <c r="C451" s="510"/>
      <c r="D451" s="510"/>
      <c r="E451" s="510"/>
      <c r="F451" s="510"/>
      <c r="G451" s="510"/>
      <c r="H451" s="510"/>
      <c r="I451" s="510"/>
      <c r="J451" s="510"/>
      <c r="K451" s="510"/>
      <c r="L451" s="510"/>
    </row>
    <row r="452" spans="2:12">
      <c r="B452" s="510"/>
      <c r="C452" s="510"/>
      <c r="D452" s="510"/>
      <c r="E452" s="510"/>
      <c r="F452" s="510"/>
      <c r="G452" s="510"/>
      <c r="H452" s="510"/>
      <c r="I452" s="510"/>
      <c r="J452" s="510"/>
      <c r="K452" s="510"/>
      <c r="L452" s="510"/>
    </row>
    <row r="453" spans="2:12">
      <c r="B453" s="510"/>
      <c r="C453" s="510"/>
      <c r="D453" s="510"/>
      <c r="E453" s="510"/>
      <c r="F453" s="510"/>
      <c r="G453" s="510"/>
      <c r="H453" s="510"/>
      <c r="I453" s="510"/>
      <c r="J453" s="510"/>
      <c r="K453" s="510"/>
      <c r="L453" s="510"/>
    </row>
    <row r="454" spans="2:12">
      <c r="B454" s="510"/>
      <c r="C454" s="510"/>
      <c r="D454" s="510"/>
      <c r="E454" s="510"/>
      <c r="F454" s="510"/>
      <c r="G454" s="510"/>
      <c r="H454" s="510"/>
      <c r="I454" s="510"/>
      <c r="J454" s="510"/>
      <c r="K454" s="510"/>
      <c r="L454" s="510"/>
    </row>
    <row r="455" spans="2:12">
      <c r="B455" s="510"/>
      <c r="C455" s="510"/>
      <c r="D455" s="510"/>
      <c r="E455" s="510"/>
      <c r="F455" s="510"/>
      <c r="G455" s="510"/>
      <c r="H455" s="510"/>
      <c r="I455" s="510"/>
      <c r="J455" s="510"/>
      <c r="K455" s="510"/>
      <c r="L455" s="510"/>
    </row>
    <row r="456" spans="2:12">
      <c r="B456" s="510"/>
      <c r="C456" s="510"/>
      <c r="D456" s="510"/>
      <c r="E456" s="510"/>
      <c r="F456" s="510"/>
      <c r="G456" s="510"/>
      <c r="H456" s="510"/>
      <c r="I456" s="510"/>
      <c r="J456" s="510"/>
      <c r="K456" s="510"/>
      <c r="L456" s="510"/>
    </row>
    <row r="457" spans="2:12">
      <c r="B457" s="510"/>
      <c r="C457" s="510"/>
      <c r="D457" s="510"/>
      <c r="E457" s="510"/>
      <c r="F457" s="510"/>
      <c r="G457" s="510"/>
      <c r="H457" s="510"/>
      <c r="I457" s="510"/>
      <c r="J457" s="510"/>
      <c r="K457" s="510"/>
      <c r="L457" s="510"/>
    </row>
    <row r="458" spans="2:12">
      <c r="B458" s="510"/>
      <c r="C458" s="510"/>
      <c r="D458" s="510"/>
      <c r="E458" s="510"/>
      <c r="F458" s="510"/>
      <c r="G458" s="510"/>
      <c r="H458" s="510"/>
      <c r="I458" s="510"/>
      <c r="J458" s="510"/>
      <c r="K458" s="510"/>
      <c r="L458" s="510"/>
    </row>
    <row r="459" spans="2:12">
      <c r="B459" s="510"/>
      <c r="C459" s="510"/>
      <c r="D459" s="510"/>
      <c r="E459" s="510"/>
      <c r="F459" s="510"/>
      <c r="G459" s="510"/>
      <c r="H459" s="510"/>
      <c r="I459" s="510"/>
      <c r="J459" s="510"/>
      <c r="K459" s="510"/>
      <c r="L459" s="510"/>
    </row>
    <row r="460" spans="2:12">
      <c r="B460" s="510"/>
      <c r="C460" s="510"/>
      <c r="D460" s="510"/>
      <c r="E460" s="510"/>
      <c r="F460" s="510"/>
      <c r="G460" s="510"/>
      <c r="H460" s="510"/>
      <c r="I460" s="510"/>
      <c r="J460" s="510"/>
      <c r="K460" s="510"/>
      <c r="L460" s="510"/>
    </row>
    <row r="461" spans="2:12">
      <c r="B461" s="510"/>
      <c r="C461" s="510"/>
      <c r="D461" s="510"/>
      <c r="E461" s="510"/>
      <c r="F461" s="510"/>
      <c r="G461" s="510"/>
      <c r="H461" s="510"/>
      <c r="I461" s="510"/>
      <c r="J461" s="510"/>
      <c r="K461" s="510"/>
      <c r="L461" s="510"/>
    </row>
    <row r="462" spans="2:12">
      <c r="B462" s="510"/>
      <c r="C462" s="510"/>
      <c r="D462" s="510"/>
      <c r="E462" s="510"/>
      <c r="F462" s="510"/>
      <c r="G462" s="510"/>
      <c r="H462" s="510"/>
      <c r="I462" s="510"/>
      <c r="J462" s="510"/>
      <c r="K462" s="510"/>
      <c r="L462" s="510"/>
    </row>
    <row r="463" spans="2:12">
      <c r="B463" s="510"/>
      <c r="C463" s="510"/>
      <c r="D463" s="510"/>
      <c r="E463" s="510"/>
      <c r="F463" s="510"/>
      <c r="G463" s="510"/>
      <c r="H463" s="510"/>
      <c r="I463" s="510"/>
      <c r="J463" s="510"/>
      <c r="K463" s="510"/>
      <c r="L463" s="510"/>
    </row>
    <row r="464" spans="2:12">
      <c r="B464" s="510"/>
      <c r="C464" s="510"/>
      <c r="D464" s="510"/>
      <c r="E464" s="510"/>
      <c r="F464" s="510"/>
      <c r="G464" s="510"/>
      <c r="H464" s="510"/>
      <c r="I464" s="510"/>
      <c r="J464" s="510"/>
      <c r="K464" s="510"/>
      <c r="L464" s="510"/>
    </row>
    <row r="465" spans="2:12">
      <c r="B465" s="510"/>
      <c r="C465" s="510"/>
      <c r="D465" s="510"/>
      <c r="E465" s="510"/>
      <c r="F465" s="510"/>
      <c r="G465" s="510"/>
      <c r="H465" s="510"/>
      <c r="I465" s="510"/>
      <c r="J465" s="510"/>
      <c r="K465" s="510"/>
      <c r="L465" s="510"/>
    </row>
    <row r="466" spans="2:12">
      <c r="B466" s="510"/>
      <c r="C466" s="510"/>
      <c r="D466" s="510"/>
      <c r="E466" s="510"/>
      <c r="F466" s="510"/>
      <c r="G466" s="510"/>
      <c r="H466" s="510"/>
      <c r="I466" s="510"/>
      <c r="J466" s="510"/>
      <c r="K466" s="510"/>
      <c r="L466" s="510"/>
    </row>
    <row r="467" spans="2:12">
      <c r="B467" s="510"/>
      <c r="C467" s="510"/>
      <c r="D467" s="510"/>
      <c r="E467" s="510"/>
      <c r="F467" s="510"/>
      <c r="G467" s="510"/>
      <c r="H467" s="510"/>
      <c r="I467" s="510"/>
      <c r="J467" s="510"/>
      <c r="K467" s="510"/>
      <c r="L467" s="510"/>
    </row>
    <row r="468" spans="2:12">
      <c r="B468" s="510"/>
      <c r="C468" s="510"/>
      <c r="D468" s="510"/>
      <c r="E468" s="510"/>
      <c r="F468" s="510"/>
      <c r="G468" s="510"/>
      <c r="H468" s="510"/>
      <c r="I468" s="510"/>
      <c r="J468" s="510"/>
      <c r="K468" s="510"/>
      <c r="L468" s="510"/>
    </row>
    <row r="469" spans="2:12">
      <c r="B469" s="510"/>
      <c r="C469" s="510"/>
      <c r="D469" s="510"/>
      <c r="E469" s="510"/>
      <c r="F469" s="510"/>
      <c r="G469" s="510"/>
      <c r="H469" s="510"/>
      <c r="I469" s="510"/>
      <c r="J469" s="510"/>
      <c r="K469" s="510"/>
      <c r="L469" s="510"/>
    </row>
    <row r="470" spans="2:12">
      <c r="B470" s="510"/>
      <c r="C470" s="510"/>
      <c r="D470" s="510"/>
      <c r="E470" s="510"/>
      <c r="F470" s="510"/>
      <c r="G470" s="510"/>
      <c r="H470" s="510"/>
      <c r="I470" s="510"/>
      <c r="J470" s="510"/>
      <c r="K470" s="510"/>
      <c r="L470" s="510"/>
    </row>
    <row r="471" spans="2:12">
      <c r="B471" s="510"/>
      <c r="C471" s="510"/>
      <c r="D471" s="510"/>
      <c r="E471" s="510"/>
      <c r="F471" s="510"/>
      <c r="G471" s="510"/>
      <c r="H471" s="510"/>
      <c r="I471" s="510"/>
      <c r="J471" s="510"/>
      <c r="K471" s="510"/>
      <c r="L471" s="510"/>
    </row>
    <row r="472" spans="2:12">
      <c r="B472" s="510"/>
      <c r="C472" s="510"/>
      <c r="D472" s="510"/>
      <c r="E472" s="510"/>
      <c r="F472" s="510"/>
      <c r="G472" s="510"/>
      <c r="H472" s="510"/>
      <c r="I472" s="510"/>
      <c r="J472" s="510"/>
      <c r="K472" s="510"/>
      <c r="L472" s="510"/>
    </row>
    <row r="473" spans="2:12">
      <c r="B473" s="510"/>
      <c r="C473" s="510"/>
      <c r="D473" s="510"/>
      <c r="E473" s="510"/>
      <c r="F473" s="510"/>
      <c r="G473" s="510"/>
      <c r="H473" s="510"/>
      <c r="I473" s="510"/>
      <c r="J473" s="510"/>
      <c r="K473" s="510"/>
      <c r="L473" s="510"/>
    </row>
    <row r="474" spans="2:12">
      <c r="B474" s="510"/>
      <c r="C474" s="510"/>
      <c r="D474" s="510"/>
      <c r="E474" s="510"/>
      <c r="F474" s="510"/>
      <c r="G474" s="510"/>
      <c r="H474" s="510"/>
      <c r="I474" s="510"/>
      <c r="J474" s="510"/>
      <c r="K474" s="510"/>
      <c r="L474" s="510"/>
    </row>
    <row r="475" spans="2:12">
      <c r="B475" s="510"/>
      <c r="C475" s="510"/>
      <c r="D475" s="510"/>
      <c r="E475" s="510"/>
      <c r="F475" s="510"/>
      <c r="G475" s="510"/>
      <c r="H475" s="510"/>
      <c r="I475" s="510"/>
      <c r="J475" s="510"/>
      <c r="K475" s="510"/>
      <c r="L475" s="510"/>
    </row>
    <row r="476" spans="2:12">
      <c r="B476" s="510"/>
      <c r="C476" s="510"/>
      <c r="D476" s="510"/>
      <c r="E476" s="510"/>
      <c r="F476" s="510"/>
      <c r="G476" s="510"/>
      <c r="H476" s="510"/>
      <c r="I476" s="510"/>
      <c r="J476" s="510"/>
      <c r="K476" s="510"/>
      <c r="L476" s="510"/>
    </row>
    <row r="477" spans="2:12">
      <c r="B477" s="510"/>
      <c r="C477" s="510"/>
      <c r="D477" s="510"/>
      <c r="E477" s="510"/>
      <c r="F477" s="510"/>
      <c r="G477" s="510"/>
      <c r="H477" s="510"/>
      <c r="I477" s="510"/>
      <c r="J477" s="510"/>
      <c r="K477" s="510"/>
      <c r="L477" s="510"/>
    </row>
    <row r="478" spans="2:12">
      <c r="B478" s="510"/>
      <c r="C478" s="510"/>
      <c r="D478" s="510"/>
      <c r="E478" s="510"/>
      <c r="F478" s="510"/>
      <c r="G478" s="510"/>
      <c r="H478" s="510"/>
      <c r="I478" s="510"/>
      <c r="J478" s="510"/>
      <c r="K478" s="510"/>
      <c r="L478" s="510"/>
    </row>
    <row r="479" spans="2:12">
      <c r="B479" s="510"/>
      <c r="C479" s="510"/>
      <c r="D479" s="510"/>
      <c r="E479" s="510"/>
      <c r="F479" s="510"/>
      <c r="G479" s="510"/>
      <c r="H479" s="510"/>
      <c r="I479" s="510"/>
      <c r="J479" s="510"/>
      <c r="K479" s="510"/>
      <c r="L479" s="510"/>
    </row>
    <row r="480" spans="2:12">
      <c r="B480" s="510"/>
      <c r="C480" s="510"/>
      <c r="D480" s="510"/>
      <c r="E480" s="510"/>
      <c r="F480" s="510"/>
      <c r="G480" s="510"/>
      <c r="H480" s="510"/>
      <c r="I480" s="510"/>
      <c r="J480" s="510"/>
      <c r="K480" s="510"/>
      <c r="L480" s="510"/>
    </row>
    <row r="481" spans="2:12">
      <c r="B481" s="510"/>
      <c r="C481" s="510"/>
      <c r="D481" s="510"/>
      <c r="E481" s="510"/>
      <c r="F481" s="510"/>
      <c r="G481" s="510"/>
      <c r="H481" s="510"/>
      <c r="I481" s="510"/>
      <c r="J481" s="510"/>
      <c r="K481" s="510"/>
      <c r="L481" s="510"/>
    </row>
    <row r="482" spans="2:12">
      <c r="B482" s="510"/>
      <c r="C482" s="510"/>
      <c r="D482" s="510"/>
      <c r="E482" s="510"/>
      <c r="F482" s="510"/>
      <c r="G482" s="510"/>
      <c r="H482" s="510"/>
      <c r="I482" s="510"/>
      <c r="J482" s="510"/>
      <c r="K482" s="510"/>
      <c r="L482" s="510"/>
    </row>
    <row r="483" spans="2:12">
      <c r="B483" s="510"/>
      <c r="C483" s="510"/>
      <c r="D483" s="510"/>
      <c r="E483" s="510"/>
      <c r="F483" s="510"/>
      <c r="G483" s="510"/>
      <c r="H483" s="510"/>
      <c r="I483" s="510"/>
      <c r="J483" s="510"/>
      <c r="K483" s="510"/>
      <c r="L483" s="510"/>
    </row>
    <row r="484" spans="2:12">
      <c r="B484" s="510"/>
      <c r="C484" s="510"/>
      <c r="D484" s="510"/>
      <c r="E484" s="510"/>
      <c r="F484" s="510"/>
      <c r="G484" s="510"/>
      <c r="H484" s="510"/>
      <c r="I484" s="510"/>
      <c r="J484" s="510"/>
      <c r="K484" s="510"/>
      <c r="L484" s="510"/>
    </row>
    <row r="485" spans="2:12">
      <c r="B485" s="510"/>
      <c r="C485" s="510"/>
      <c r="D485" s="510"/>
      <c r="E485" s="510"/>
      <c r="F485" s="510"/>
      <c r="G485" s="510"/>
      <c r="H485" s="510"/>
      <c r="I485" s="510"/>
      <c r="J485" s="510"/>
      <c r="K485" s="510"/>
      <c r="L485" s="510"/>
    </row>
    <row r="486" spans="2:12">
      <c r="B486" s="510"/>
      <c r="C486" s="510"/>
      <c r="D486" s="510"/>
      <c r="E486" s="510"/>
      <c r="F486" s="510"/>
      <c r="G486" s="510"/>
      <c r="H486" s="510"/>
      <c r="I486" s="510"/>
      <c r="J486" s="510"/>
      <c r="K486" s="510"/>
      <c r="L486" s="510"/>
    </row>
    <row r="487" spans="2:12">
      <c r="B487" s="510"/>
      <c r="C487" s="510"/>
      <c r="D487" s="510"/>
      <c r="E487" s="510"/>
      <c r="F487" s="510"/>
      <c r="G487" s="510"/>
      <c r="H487" s="510"/>
      <c r="I487" s="510"/>
      <c r="J487" s="510"/>
      <c r="K487" s="510"/>
      <c r="L487" s="510"/>
    </row>
    <row r="488" spans="2:12">
      <c r="B488" s="510"/>
      <c r="C488" s="510"/>
      <c r="D488" s="510"/>
      <c r="E488" s="510"/>
      <c r="F488" s="510"/>
      <c r="G488" s="510"/>
      <c r="H488" s="510"/>
      <c r="I488" s="510"/>
      <c r="J488" s="510"/>
      <c r="K488" s="510"/>
      <c r="L488" s="510"/>
    </row>
    <row r="489" spans="2:12">
      <c r="B489" s="510"/>
      <c r="C489" s="510"/>
      <c r="D489" s="510"/>
      <c r="E489" s="510"/>
      <c r="F489" s="510"/>
      <c r="G489" s="510"/>
      <c r="H489" s="510"/>
      <c r="I489" s="510"/>
      <c r="J489" s="510"/>
      <c r="K489" s="510"/>
      <c r="L489" s="510"/>
    </row>
    <row r="490" spans="2:12">
      <c r="B490" s="510"/>
      <c r="C490" s="510"/>
      <c r="D490" s="510"/>
      <c r="E490" s="510"/>
      <c r="F490" s="510"/>
      <c r="G490" s="510"/>
      <c r="H490" s="510"/>
      <c r="I490" s="510"/>
      <c r="J490" s="510"/>
      <c r="K490" s="510"/>
      <c r="L490" s="510"/>
    </row>
    <row r="491" spans="2:12">
      <c r="B491" s="510"/>
      <c r="C491" s="510"/>
      <c r="D491" s="510"/>
      <c r="E491" s="510"/>
      <c r="F491" s="510"/>
      <c r="G491" s="510"/>
      <c r="H491" s="510"/>
      <c r="I491" s="510"/>
      <c r="J491" s="510"/>
      <c r="K491" s="510"/>
      <c r="L491" s="510"/>
    </row>
    <row r="492" spans="2:12">
      <c r="B492" s="510"/>
      <c r="C492" s="510"/>
      <c r="D492" s="510"/>
      <c r="E492" s="510"/>
      <c r="F492" s="510"/>
      <c r="G492" s="510"/>
      <c r="H492" s="510"/>
      <c r="I492" s="510"/>
      <c r="J492" s="510"/>
      <c r="K492" s="510"/>
      <c r="L492" s="510"/>
    </row>
    <row r="493" spans="2:12">
      <c r="B493" s="510"/>
      <c r="C493" s="510"/>
      <c r="D493" s="510"/>
      <c r="E493" s="510"/>
      <c r="F493" s="510"/>
      <c r="G493" s="510"/>
      <c r="H493" s="510"/>
      <c r="I493" s="510"/>
      <c r="J493" s="510"/>
      <c r="K493" s="510"/>
      <c r="L493" s="510"/>
    </row>
    <row r="494" spans="2:12">
      <c r="B494" s="510"/>
      <c r="C494" s="510"/>
      <c r="D494" s="510"/>
      <c r="E494" s="510"/>
      <c r="F494" s="510"/>
      <c r="G494" s="510"/>
      <c r="H494" s="510"/>
      <c r="I494" s="510"/>
      <c r="J494" s="510"/>
      <c r="K494" s="510"/>
      <c r="L494" s="510"/>
    </row>
    <row r="495" spans="2:12">
      <c r="B495" s="510"/>
      <c r="C495" s="510"/>
      <c r="D495" s="510"/>
      <c r="E495" s="510"/>
      <c r="F495" s="510"/>
      <c r="G495" s="510"/>
      <c r="H495" s="510"/>
      <c r="I495" s="510"/>
      <c r="J495" s="510"/>
      <c r="K495" s="510"/>
      <c r="L495" s="510"/>
    </row>
    <row r="496" spans="2:12">
      <c r="B496" s="510"/>
      <c r="C496" s="510"/>
      <c r="D496" s="510"/>
      <c r="E496" s="510"/>
      <c r="F496" s="510"/>
      <c r="G496" s="510"/>
      <c r="H496" s="510"/>
      <c r="I496" s="510"/>
      <c r="J496" s="510"/>
      <c r="K496" s="510"/>
      <c r="L496" s="510"/>
    </row>
    <row r="497" spans="2:12">
      <c r="B497" s="510"/>
      <c r="C497" s="510"/>
      <c r="D497" s="510"/>
      <c r="E497" s="510"/>
      <c r="F497" s="510"/>
      <c r="G497" s="510"/>
      <c r="H497" s="510"/>
      <c r="I497" s="510"/>
      <c r="J497" s="510"/>
      <c r="K497" s="510"/>
      <c r="L497" s="510"/>
    </row>
    <row r="498" spans="2:12">
      <c r="B498" s="510"/>
      <c r="C498" s="510"/>
      <c r="D498" s="510"/>
      <c r="E498" s="510"/>
      <c r="F498" s="510"/>
      <c r="G498" s="510"/>
      <c r="H498" s="510"/>
      <c r="I498" s="510"/>
      <c r="J498" s="510"/>
      <c r="K498" s="510"/>
      <c r="L498" s="510"/>
    </row>
    <row r="499" spans="2:12">
      <c r="B499" s="510"/>
      <c r="C499" s="510"/>
      <c r="D499" s="510"/>
      <c r="E499" s="510"/>
      <c r="F499" s="510"/>
      <c r="G499" s="510"/>
      <c r="H499" s="510"/>
      <c r="I499" s="510"/>
      <c r="J499" s="510"/>
      <c r="K499" s="510"/>
      <c r="L499" s="510"/>
    </row>
    <row r="500" spans="2:12">
      <c r="B500" s="510"/>
      <c r="C500" s="510"/>
      <c r="D500" s="510"/>
      <c r="E500" s="510"/>
      <c r="F500" s="510"/>
      <c r="G500" s="510"/>
      <c r="H500" s="510"/>
      <c r="I500" s="510"/>
      <c r="J500" s="510"/>
      <c r="K500" s="510"/>
      <c r="L500" s="510"/>
    </row>
    <row r="501" spans="2:12">
      <c r="B501" s="510"/>
      <c r="C501" s="510"/>
      <c r="D501" s="510"/>
      <c r="E501" s="510"/>
      <c r="F501" s="510"/>
      <c r="G501" s="510"/>
      <c r="H501" s="510"/>
      <c r="I501" s="510"/>
      <c r="J501" s="510"/>
      <c r="K501" s="510"/>
      <c r="L501" s="510"/>
    </row>
    <row r="502" spans="2:12">
      <c r="B502" s="510"/>
      <c r="C502" s="510"/>
      <c r="D502" s="510"/>
      <c r="E502" s="510"/>
      <c r="F502" s="510"/>
      <c r="G502" s="510"/>
      <c r="H502" s="510"/>
      <c r="I502" s="510"/>
      <c r="J502" s="510"/>
      <c r="K502" s="510"/>
      <c r="L502" s="510"/>
    </row>
    <row r="503" spans="2:12">
      <c r="B503" s="510"/>
      <c r="C503" s="510"/>
      <c r="D503" s="510"/>
      <c r="E503" s="510"/>
      <c r="F503" s="510"/>
      <c r="G503" s="510"/>
      <c r="H503" s="510"/>
      <c r="I503" s="510"/>
      <c r="J503" s="510"/>
      <c r="K503" s="510"/>
      <c r="L503" s="510"/>
    </row>
    <row r="504" spans="2:12">
      <c r="B504" s="510"/>
      <c r="C504" s="510"/>
      <c r="D504" s="510"/>
      <c r="E504" s="510"/>
      <c r="F504" s="510"/>
      <c r="G504" s="510"/>
      <c r="H504" s="510"/>
      <c r="I504" s="510"/>
      <c r="J504" s="510"/>
      <c r="K504" s="510"/>
      <c r="L504" s="510"/>
    </row>
    <row r="505" spans="2:12">
      <c r="B505" s="510"/>
      <c r="C505" s="510"/>
      <c r="D505" s="510"/>
      <c r="E505" s="510"/>
      <c r="F505" s="510"/>
      <c r="G505" s="510"/>
      <c r="H505" s="510"/>
      <c r="I505" s="510"/>
      <c r="J505" s="510"/>
      <c r="K505" s="510"/>
      <c r="L505" s="510"/>
    </row>
    <row r="506" spans="2:12">
      <c r="B506" s="510"/>
      <c r="C506" s="510"/>
      <c r="D506" s="510"/>
      <c r="E506" s="510"/>
      <c r="F506" s="510"/>
      <c r="G506" s="510"/>
      <c r="H506" s="510"/>
      <c r="I506" s="510"/>
      <c r="J506" s="510"/>
      <c r="K506" s="510"/>
      <c r="L506" s="510"/>
    </row>
    <row r="507" spans="2:12">
      <c r="B507" s="510"/>
      <c r="C507" s="510"/>
      <c r="D507" s="510"/>
      <c r="E507" s="510"/>
      <c r="F507" s="510"/>
      <c r="G507" s="510"/>
      <c r="H507" s="510"/>
      <c r="I507" s="510"/>
      <c r="J507" s="510"/>
      <c r="K507" s="510"/>
      <c r="L507" s="510"/>
    </row>
    <row r="508" spans="2:12">
      <c r="B508" s="510"/>
      <c r="C508" s="510"/>
      <c r="D508" s="510"/>
      <c r="E508" s="510"/>
      <c r="F508" s="510"/>
      <c r="G508" s="510"/>
      <c r="H508" s="510"/>
      <c r="I508" s="510"/>
      <c r="J508" s="510"/>
      <c r="K508" s="510"/>
      <c r="L508" s="510"/>
    </row>
    <row r="509" spans="2:12">
      <c r="B509" s="510"/>
      <c r="C509" s="510"/>
      <c r="D509" s="510"/>
      <c r="E509" s="510"/>
      <c r="F509" s="510"/>
      <c r="G509" s="510"/>
      <c r="H509" s="510"/>
      <c r="I509" s="510"/>
      <c r="J509" s="510"/>
      <c r="K509" s="510"/>
      <c r="L509" s="510"/>
    </row>
    <row r="510" spans="2:12">
      <c r="B510" s="510"/>
      <c r="C510" s="510"/>
      <c r="D510" s="510"/>
      <c r="E510" s="510"/>
      <c r="F510" s="510"/>
      <c r="G510" s="510"/>
      <c r="H510" s="510"/>
      <c r="I510" s="510"/>
      <c r="J510" s="510"/>
      <c r="K510" s="510"/>
      <c r="L510" s="510"/>
    </row>
    <row r="511" spans="2:12">
      <c r="B511" s="510"/>
      <c r="C511" s="510"/>
      <c r="D511" s="510"/>
      <c r="E511" s="510"/>
      <c r="F511" s="510"/>
      <c r="G511" s="510"/>
      <c r="H511" s="510"/>
      <c r="I511" s="510"/>
      <c r="J511" s="510"/>
      <c r="K511" s="510"/>
      <c r="L511" s="510"/>
    </row>
    <row r="512" spans="2:12">
      <c r="B512" s="510"/>
      <c r="C512" s="510"/>
      <c r="D512" s="510"/>
      <c r="E512" s="510"/>
      <c r="F512" s="510"/>
      <c r="G512" s="510"/>
      <c r="H512" s="510"/>
      <c r="I512" s="510"/>
      <c r="J512" s="510"/>
      <c r="K512" s="510"/>
      <c r="L512" s="510"/>
    </row>
    <row r="513" spans="2:12">
      <c r="B513" s="510"/>
      <c r="C513" s="510"/>
      <c r="D513" s="510"/>
      <c r="E513" s="510"/>
      <c r="F513" s="510"/>
      <c r="G513" s="510"/>
      <c r="H513" s="510"/>
      <c r="I513" s="510"/>
      <c r="J513" s="510"/>
      <c r="K513" s="510"/>
      <c r="L513" s="510"/>
    </row>
    <row r="514" spans="2:12">
      <c r="B514" s="510"/>
      <c r="C514" s="510"/>
      <c r="D514" s="510"/>
      <c r="E514" s="510"/>
      <c r="F514" s="510"/>
      <c r="G514" s="510"/>
      <c r="H514" s="510"/>
      <c r="I514" s="510"/>
      <c r="J514" s="510"/>
      <c r="K514" s="510"/>
      <c r="L514" s="510"/>
    </row>
    <row r="515" spans="2:12">
      <c r="B515" s="510"/>
      <c r="C515" s="510"/>
      <c r="D515" s="510"/>
      <c r="E515" s="510"/>
      <c r="F515" s="510"/>
      <c r="G515" s="510"/>
      <c r="H515" s="510"/>
      <c r="I515" s="510"/>
      <c r="J515" s="510"/>
      <c r="K515" s="510"/>
      <c r="L515" s="510"/>
    </row>
    <row r="516" spans="2:12">
      <c r="B516" s="510"/>
      <c r="C516" s="510"/>
      <c r="D516" s="510"/>
      <c r="E516" s="510"/>
      <c r="F516" s="510"/>
      <c r="G516" s="510"/>
      <c r="H516" s="510"/>
      <c r="I516" s="510"/>
      <c r="J516" s="510"/>
      <c r="K516" s="510"/>
      <c r="L516" s="510"/>
    </row>
    <row r="517" spans="2:12">
      <c r="B517" s="510"/>
      <c r="C517" s="510"/>
      <c r="D517" s="510"/>
      <c r="E517" s="510"/>
      <c r="F517" s="510"/>
      <c r="G517" s="510"/>
      <c r="H517" s="510"/>
      <c r="I517" s="510"/>
      <c r="J517" s="510"/>
      <c r="K517" s="510"/>
      <c r="L517" s="510"/>
    </row>
    <row r="518" spans="2:12">
      <c r="B518" s="510"/>
      <c r="C518" s="510"/>
      <c r="D518" s="510"/>
      <c r="E518" s="510"/>
      <c r="F518" s="510"/>
      <c r="G518" s="510"/>
      <c r="H518" s="510"/>
      <c r="I518" s="510"/>
      <c r="J518" s="510"/>
      <c r="K518" s="510"/>
      <c r="L518" s="510"/>
    </row>
    <row r="519" spans="2:12">
      <c r="B519" s="510"/>
      <c r="C519" s="510"/>
      <c r="D519" s="510"/>
      <c r="E519" s="510"/>
      <c r="F519" s="510"/>
      <c r="G519" s="510"/>
      <c r="H519" s="510"/>
      <c r="I519" s="510"/>
      <c r="J519" s="510"/>
      <c r="K519" s="510"/>
      <c r="L519" s="510"/>
    </row>
    <row r="520" spans="2:12">
      <c r="B520" s="510"/>
      <c r="C520" s="510"/>
      <c r="D520" s="510"/>
      <c r="E520" s="510"/>
      <c r="F520" s="510"/>
      <c r="G520" s="510"/>
      <c r="H520" s="510"/>
      <c r="I520" s="510"/>
      <c r="J520" s="510"/>
      <c r="K520" s="510"/>
      <c r="L520" s="510"/>
    </row>
    <row r="521" spans="2:12">
      <c r="B521" s="510"/>
      <c r="C521" s="510"/>
      <c r="D521" s="510"/>
      <c r="E521" s="510"/>
      <c r="F521" s="510"/>
      <c r="G521" s="510"/>
      <c r="H521" s="510"/>
      <c r="I521" s="510"/>
      <c r="J521" s="510"/>
      <c r="K521" s="510"/>
      <c r="L521" s="510"/>
    </row>
    <row r="522" spans="2:12">
      <c r="B522" s="510"/>
      <c r="C522" s="510"/>
      <c r="D522" s="510"/>
      <c r="E522" s="510"/>
      <c r="F522" s="510"/>
      <c r="G522" s="510"/>
      <c r="H522" s="510"/>
      <c r="I522" s="510"/>
      <c r="J522" s="510"/>
      <c r="K522" s="510"/>
      <c r="L522" s="510"/>
    </row>
    <row r="523" spans="2:12">
      <c r="B523" s="510"/>
      <c r="C523" s="510"/>
      <c r="D523" s="510"/>
      <c r="E523" s="510"/>
      <c r="F523" s="510"/>
      <c r="G523" s="510"/>
      <c r="H523" s="510"/>
      <c r="I523" s="510"/>
      <c r="J523" s="510"/>
      <c r="K523" s="510"/>
      <c r="L523" s="510"/>
    </row>
    <row r="524" spans="2:12">
      <c r="B524" s="510"/>
      <c r="C524" s="510"/>
      <c r="D524" s="510"/>
      <c r="E524" s="510"/>
      <c r="F524" s="510"/>
      <c r="G524" s="510"/>
      <c r="H524" s="510"/>
      <c r="I524" s="510"/>
      <c r="J524" s="510"/>
      <c r="K524" s="510"/>
      <c r="L524" s="510"/>
    </row>
    <row r="525" spans="2:12">
      <c r="B525" s="510"/>
      <c r="C525" s="510"/>
      <c r="D525" s="510"/>
      <c r="E525" s="510"/>
      <c r="F525" s="510"/>
      <c r="G525" s="510"/>
      <c r="H525" s="510"/>
      <c r="I525" s="510"/>
      <c r="J525" s="510"/>
      <c r="K525" s="510"/>
      <c r="L525" s="510"/>
    </row>
    <row r="526" spans="2:12">
      <c r="B526" s="510"/>
      <c r="C526" s="510"/>
      <c r="D526" s="510"/>
      <c r="E526" s="510"/>
      <c r="F526" s="510"/>
      <c r="G526" s="510"/>
      <c r="H526" s="510"/>
      <c r="I526" s="510"/>
      <c r="J526" s="510"/>
      <c r="K526" s="510"/>
      <c r="L526" s="510"/>
    </row>
    <row r="527" spans="2:12">
      <c r="B527" s="510"/>
      <c r="C527" s="510"/>
      <c r="D527" s="510"/>
      <c r="E527" s="510"/>
      <c r="F527" s="510"/>
      <c r="G527" s="510"/>
      <c r="H527" s="510"/>
      <c r="I527" s="510"/>
      <c r="J527" s="510"/>
      <c r="K527" s="510"/>
      <c r="L527" s="510"/>
    </row>
    <row r="528" spans="2:12">
      <c r="B528" s="510"/>
      <c r="C528" s="510"/>
      <c r="D528" s="510"/>
      <c r="E528" s="510"/>
      <c r="F528" s="510"/>
      <c r="G528" s="510"/>
      <c r="H528" s="510"/>
      <c r="I528" s="510"/>
      <c r="J528" s="510"/>
      <c r="K528" s="510"/>
      <c r="L528" s="510"/>
    </row>
    <row r="529" spans="2:12">
      <c r="B529" s="510"/>
      <c r="C529" s="510"/>
      <c r="D529" s="510"/>
      <c r="E529" s="510"/>
      <c r="F529" s="510"/>
      <c r="G529" s="510"/>
      <c r="H529" s="510"/>
      <c r="I529" s="510"/>
      <c r="J529" s="510"/>
      <c r="K529" s="510"/>
      <c r="L529" s="510"/>
    </row>
    <row r="530" spans="2:12">
      <c r="B530" s="510"/>
      <c r="C530" s="510"/>
      <c r="D530" s="510"/>
      <c r="E530" s="510"/>
      <c r="F530" s="510"/>
      <c r="G530" s="510"/>
      <c r="H530" s="510"/>
      <c r="I530" s="510"/>
      <c r="J530" s="510"/>
      <c r="K530" s="510"/>
      <c r="L530" s="510"/>
    </row>
    <row r="531" spans="2:12">
      <c r="B531" s="510"/>
      <c r="C531" s="510"/>
      <c r="D531" s="510"/>
      <c r="E531" s="510"/>
      <c r="F531" s="510"/>
      <c r="G531" s="510"/>
      <c r="H531" s="510"/>
      <c r="I531" s="510"/>
      <c r="J531" s="510"/>
      <c r="K531" s="510"/>
      <c r="L531" s="510"/>
    </row>
    <row r="532" spans="2:12">
      <c r="B532" s="510"/>
      <c r="C532" s="510"/>
      <c r="D532" s="510"/>
      <c r="E532" s="510"/>
      <c r="F532" s="510"/>
      <c r="G532" s="510"/>
      <c r="H532" s="510"/>
      <c r="I532" s="510"/>
      <c r="J532" s="510"/>
      <c r="K532" s="510"/>
      <c r="L532" s="510"/>
    </row>
    <row r="533" spans="2:12">
      <c r="B533" s="510"/>
      <c r="C533" s="510"/>
      <c r="D533" s="510"/>
      <c r="E533" s="510"/>
      <c r="F533" s="510"/>
      <c r="G533" s="510"/>
      <c r="H533" s="510"/>
      <c r="I533" s="510"/>
      <c r="J533" s="510"/>
      <c r="K533" s="510"/>
      <c r="L533" s="510"/>
    </row>
    <row r="534" spans="2:12">
      <c r="B534" s="510"/>
      <c r="C534" s="510"/>
      <c r="D534" s="510"/>
      <c r="E534" s="510"/>
      <c r="F534" s="510"/>
      <c r="G534" s="510"/>
      <c r="H534" s="510"/>
      <c r="I534" s="510"/>
      <c r="J534" s="510"/>
      <c r="K534" s="510"/>
      <c r="L534" s="510"/>
    </row>
    <row r="535" spans="2:12">
      <c r="B535" s="510"/>
      <c r="C535" s="510"/>
      <c r="D535" s="510"/>
      <c r="E535" s="510"/>
      <c r="F535" s="510"/>
      <c r="G535" s="510"/>
      <c r="H535" s="510"/>
      <c r="I535" s="510"/>
      <c r="J535" s="510"/>
      <c r="K535" s="510"/>
      <c r="L535" s="510"/>
    </row>
    <row r="536" spans="2:12">
      <c r="B536" s="510"/>
      <c r="C536" s="510"/>
      <c r="D536" s="510"/>
      <c r="E536" s="510"/>
      <c r="F536" s="510"/>
      <c r="G536" s="510"/>
      <c r="H536" s="510"/>
      <c r="I536" s="510"/>
      <c r="J536" s="510"/>
      <c r="K536" s="510"/>
      <c r="L536" s="510"/>
    </row>
    <row r="537" spans="2:12">
      <c r="B537" s="510"/>
      <c r="C537" s="510"/>
      <c r="D537" s="510"/>
      <c r="E537" s="510"/>
      <c r="F537" s="510"/>
      <c r="G537" s="510"/>
      <c r="H537" s="510"/>
      <c r="I537" s="510"/>
      <c r="J537" s="510"/>
      <c r="K537" s="510"/>
      <c r="L537" s="510"/>
    </row>
    <row r="538" spans="2:12">
      <c r="B538" s="510"/>
      <c r="C538" s="510"/>
      <c r="D538" s="510"/>
      <c r="E538" s="510"/>
      <c r="F538" s="510"/>
      <c r="G538" s="510"/>
      <c r="H538" s="510"/>
      <c r="I538" s="510"/>
      <c r="J538" s="510"/>
      <c r="K538" s="510"/>
      <c r="L538" s="510"/>
    </row>
    <row r="539" spans="2:12">
      <c r="B539" s="510"/>
      <c r="C539" s="510"/>
      <c r="D539" s="510"/>
      <c r="E539" s="510"/>
      <c r="F539" s="510"/>
      <c r="G539" s="510"/>
      <c r="H539" s="510"/>
      <c r="I539" s="510"/>
      <c r="J539" s="510"/>
      <c r="K539" s="510"/>
      <c r="L539" s="510"/>
    </row>
    <row r="540" spans="2:12">
      <c r="B540" s="510"/>
      <c r="C540" s="510"/>
      <c r="D540" s="510"/>
      <c r="E540" s="510"/>
      <c r="F540" s="510"/>
      <c r="G540" s="510"/>
      <c r="H540" s="510"/>
      <c r="I540" s="510"/>
      <c r="J540" s="510"/>
      <c r="K540" s="510"/>
      <c r="L540" s="510"/>
    </row>
    <row r="541" spans="2:12">
      <c r="B541" s="510"/>
      <c r="C541" s="510"/>
      <c r="D541" s="510"/>
      <c r="E541" s="510"/>
      <c r="F541" s="510"/>
      <c r="G541" s="510"/>
      <c r="H541" s="510"/>
      <c r="I541" s="510"/>
      <c r="J541" s="510"/>
      <c r="K541" s="510"/>
      <c r="L541" s="510"/>
    </row>
    <row r="542" spans="2:12">
      <c r="B542" s="510"/>
      <c r="C542" s="510"/>
      <c r="D542" s="510"/>
      <c r="E542" s="510"/>
      <c r="F542" s="510"/>
      <c r="G542" s="510"/>
      <c r="H542" s="510"/>
      <c r="I542" s="510"/>
      <c r="J542" s="510"/>
      <c r="K542" s="510"/>
      <c r="L542" s="510"/>
    </row>
    <row r="543" spans="2:12">
      <c r="B543" s="510"/>
      <c r="C543" s="510"/>
      <c r="D543" s="510"/>
      <c r="E543" s="510"/>
      <c r="F543" s="510"/>
      <c r="G543" s="510"/>
      <c r="H543" s="510"/>
      <c r="I543" s="510"/>
      <c r="J543" s="510"/>
      <c r="K543" s="510"/>
      <c r="L543" s="510"/>
    </row>
    <row r="544" spans="2:12">
      <c r="B544" s="510"/>
      <c r="C544" s="510"/>
      <c r="D544" s="510"/>
      <c r="E544" s="510"/>
      <c r="F544" s="510"/>
      <c r="G544" s="510"/>
      <c r="H544" s="510"/>
      <c r="I544" s="510"/>
      <c r="J544" s="510"/>
      <c r="K544" s="510"/>
      <c r="L544" s="510"/>
    </row>
    <row r="545" spans="2:12">
      <c r="B545" s="510"/>
      <c r="C545" s="510"/>
      <c r="D545" s="510"/>
      <c r="E545" s="510"/>
      <c r="F545" s="510"/>
      <c r="G545" s="510"/>
      <c r="H545" s="510"/>
      <c r="I545" s="510"/>
      <c r="J545" s="510"/>
      <c r="K545" s="510"/>
      <c r="L545" s="510"/>
    </row>
    <row r="546" spans="2:12">
      <c r="B546" s="510"/>
      <c r="C546" s="510"/>
      <c r="D546" s="510"/>
      <c r="E546" s="510"/>
      <c r="F546" s="510"/>
      <c r="G546" s="510"/>
      <c r="H546" s="510"/>
      <c r="I546" s="510"/>
      <c r="J546" s="510"/>
      <c r="K546" s="510"/>
      <c r="L546" s="510"/>
    </row>
    <row r="547" spans="2:12">
      <c r="B547" s="510"/>
      <c r="C547" s="510"/>
      <c r="D547" s="510"/>
      <c r="E547" s="510"/>
      <c r="F547" s="510"/>
      <c r="G547" s="510"/>
      <c r="H547" s="510"/>
      <c r="I547" s="510"/>
      <c r="J547" s="510"/>
      <c r="K547" s="510"/>
      <c r="L547" s="510"/>
    </row>
    <row r="548" spans="2:12">
      <c r="B548" s="510"/>
      <c r="C548" s="510"/>
      <c r="D548" s="510"/>
      <c r="E548" s="510"/>
      <c r="F548" s="510"/>
      <c r="G548" s="510"/>
      <c r="H548" s="510"/>
      <c r="I548" s="510"/>
      <c r="J548" s="510"/>
      <c r="K548" s="510"/>
      <c r="L548" s="510"/>
    </row>
    <row r="549" spans="2:12">
      <c r="B549" s="510"/>
      <c r="C549" s="510"/>
      <c r="D549" s="510"/>
      <c r="E549" s="510"/>
      <c r="F549" s="510"/>
      <c r="G549" s="510"/>
      <c r="H549" s="510"/>
      <c r="I549" s="510"/>
      <c r="J549" s="510"/>
      <c r="K549" s="510"/>
      <c r="L549" s="510"/>
    </row>
    <row r="550" spans="2:12">
      <c r="B550" s="510"/>
      <c r="C550" s="510"/>
      <c r="D550" s="510"/>
      <c r="E550" s="510"/>
      <c r="F550" s="510"/>
      <c r="G550" s="510"/>
      <c r="H550" s="510"/>
      <c r="I550" s="510"/>
      <c r="J550" s="510"/>
      <c r="K550" s="510"/>
      <c r="L550" s="510"/>
    </row>
    <row r="551" spans="2:12">
      <c r="B551" s="510"/>
      <c r="C551" s="510"/>
      <c r="D551" s="510"/>
      <c r="E551" s="510"/>
      <c r="F551" s="510"/>
      <c r="G551" s="510"/>
      <c r="H551" s="510"/>
      <c r="I551" s="510"/>
      <c r="J551" s="510"/>
      <c r="K551" s="510"/>
      <c r="L551" s="510"/>
    </row>
    <row r="552" spans="2:12">
      <c r="B552" s="510"/>
      <c r="C552" s="510"/>
      <c r="D552" s="510"/>
      <c r="E552" s="510"/>
      <c r="F552" s="510"/>
      <c r="G552" s="510"/>
      <c r="H552" s="510"/>
      <c r="I552" s="510"/>
      <c r="J552" s="510"/>
      <c r="K552" s="510"/>
      <c r="L552" s="510"/>
    </row>
    <row r="553" spans="2:12">
      <c r="B553" s="510"/>
      <c r="C553" s="510"/>
      <c r="D553" s="510"/>
      <c r="E553" s="510"/>
      <c r="F553" s="510"/>
      <c r="G553" s="510"/>
      <c r="H553" s="510"/>
      <c r="I553" s="510"/>
      <c r="J553" s="510"/>
      <c r="K553" s="510"/>
      <c r="L553" s="510"/>
    </row>
    <row r="554" spans="2:12">
      <c r="B554" s="510"/>
      <c r="C554" s="510"/>
      <c r="D554" s="510"/>
      <c r="E554" s="510"/>
      <c r="F554" s="510"/>
      <c r="G554" s="510"/>
      <c r="H554" s="510"/>
      <c r="I554" s="510"/>
      <c r="J554" s="510"/>
      <c r="K554" s="510"/>
      <c r="L554" s="510"/>
    </row>
    <row r="555" spans="2:12">
      <c r="B555" s="510"/>
      <c r="C555" s="510"/>
      <c r="D555" s="510"/>
      <c r="E555" s="510"/>
      <c r="F555" s="510"/>
      <c r="G555" s="510"/>
      <c r="H555" s="510"/>
      <c r="I555" s="510"/>
      <c r="J555" s="510"/>
      <c r="K555" s="510"/>
      <c r="L555" s="510"/>
    </row>
    <row r="556" spans="2:12">
      <c r="B556" s="510"/>
      <c r="C556" s="510"/>
      <c r="D556" s="510"/>
      <c r="E556" s="510"/>
      <c r="F556" s="510"/>
      <c r="G556" s="510"/>
      <c r="H556" s="510"/>
      <c r="I556" s="510"/>
      <c r="J556" s="510"/>
      <c r="K556" s="510"/>
      <c r="L556" s="510"/>
    </row>
    <row r="557" spans="2:12">
      <c r="B557" s="510"/>
      <c r="C557" s="510"/>
      <c r="D557" s="510"/>
      <c r="E557" s="510"/>
      <c r="F557" s="510"/>
      <c r="G557" s="510"/>
      <c r="H557" s="510"/>
      <c r="I557" s="510"/>
      <c r="J557" s="510"/>
      <c r="K557" s="510"/>
      <c r="L557" s="510"/>
    </row>
    <row r="558" spans="2:12">
      <c r="B558" s="510"/>
      <c r="C558" s="510"/>
      <c r="D558" s="510"/>
      <c r="E558" s="510"/>
      <c r="F558" s="510"/>
      <c r="G558" s="510"/>
      <c r="H558" s="510"/>
      <c r="I558" s="510"/>
      <c r="J558" s="510"/>
      <c r="K558" s="510"/>
      <c r="L558" s="510"/>
    </row>
    <row r="559" spans="2:12">
      <c r="B559" s="510"/>
      <c r="C559" s="510"/>
      <c r="D559" s="510"/>
      <c r="E559" s="510"/>
      <c r="F559" s="510"/>
      <c r="G559" s="510"/>
      <c r="H559" s="510"/>
      <c r="I559" s="510"/>
      <c r="J559" s="510"/>
      <c r="K559" s="510"/>
      <c r="L559" s="510"/>
    </row>
    <row r="560" spans="2:12">
      <c r="B560" s="510"/>
      <c r="C560" s="510"/>
      <c r="D560" s="510"/>
      <c r="E560" s="510"/>
      <c r="F560" s="510"/>
      <c r="G560" s="510"/>
      <c r="H560" s="510"/>
      <c r="I560" s="510"/>
      <c r="J560" s="510"/>
      <c r="K560" s="510"/>
      <c r="L560" s="510"/>
    </row>
    <row r="561" spans="2:12">
      <c r="B561" s="510"/>
      <c r="C561" s="510"/>
      <c r="D561" s="510"/>
      <c r="E561" s="510"/>
      <c r="F561" s="510"/>
      <c r="G561" s="510"/>
      <c r="H561" s="510"/>
      <c r="I561" s="510"/>
      <c r="J561" s="510"/>
      <c r="K561" s="510"/>
      <c r="L561" s="510"/>
    </row>
    <row r="562" spans="2:12">
      <c r="B562" s="510"/>
      <c r="C562" s="510"/>
      <c r="D562" s="510"/>
      <c r="E562" s="510"/>
      <c r="F562" s="510"/>
      <c r="G562" s="510"/>
      <c r="H562" s="510"/>
      <c r="I562" s="510"/>
      <c r="J562" s="510"/>
      <c r="K562" s="510"/>
      <c r="L562" s="510"/>
    </row>
    <row r="563" spans="2:12">
      <c r="B563" s="510"/>
      <c r="C563" s="510"/>
      <c r="D563" s="510"/>
      <c r="E563" s="510"/>
      <c r="F563" s="510"/>
      <c r="G563" s="510"/>
      <c r="H563" s="510"/>
      <c r="I563" s="510"/>
      <c r="J563" s="510"/>
      <c r="K563" s="510"/>
      <c r="L563" s="510"/>
    </row>
    <row r="564" spans="2:12">
      <c r="B564" s="510"/>
      <c r="C564" s="510"/>
      <c r="D564" s="510"/>
      <c r="E564" s="510"/>
      <c r="F564" s="510"/>
      <c r="G564" s="510"/>
      <c r="H564" s="510"/>
      <c r="I564" s="510"/>
      <c r="J564" s="510"/>
      <c r="K564" s="510"/>
      <c r="L564" s="510"/>
    </row>
    <row r="565" spans="2:12">
      <c r="B565" s="510"/>
      <c r="C565" s="510"/>
      <c r="D565" s="510"/>
      <c r="E565" s="510"/>
      <c r="F565" s="510"/>
      <c r="G565" s="510"/>
      <c r="H565" s="510"/>
      <c r="I565" s="510"/>
      <c r="J565" s="510"/>
      <c r="K565" s="510"/>
      <c r="L565" s="510"/>
    </row>
    <row r="566" spans="2:12">
      <c r="B566" s="510"/>
      <c r="C566" s="510"/>
      <c r="D566" s="510"/>
      <c r="E566" s="510"/>
      <c r="F566" s="510"/>
      <c r="G566" s="510"/>
      <c r="H566" s="510"/>
      <c r="I566" s="510"/>
      <c r="J566" s="510"/>
      <c r="K566" s="510"/>
      <c r="L566" s="510"/>
    </row>
    <row r="567" spans="2:12">
      <c r="B567" s="510"/>
      <c r="C567" s="510"/>
      <c r="D567" s="510"/>
      <c r="E567" s="510"/>
      <c r="F567" s="510"/>
      <c r="G567" s="510"/>
      <c r="H567" s="510"/>
      <c r="I567" s="510"/>
      <c r="J567" s="510"/>
      <c r="K567" s="510"/>
      <c r="L567" s="510"/>
    </row>
    <row r="568" spans="2:12">
      <c r="B568" s="510"/>
      <c r="C568" s="510"/>
      <c r="D568" s="510"/>
      <c r="E568" s="510"/>
      <c r="F568" s="510"/>
      <c r="G568" s="510"/>
      <c r="H568" s="510"/>
      <c r="I568" s="510"/>
      <c r="J568" s="510"/>
      <c r="K568" s="510"/>
      <c r="L568" s="510"/>
    </row>
    <row r="569" spans="2:12">
      <c r="B569" s="510"/>
      <c r="C569" s="510"/>
      <c r="D569" s="510"/>
      <c r="E569" s="510"/>
      <c r="F569" s="510"/>
      <c r="G569" s="510"/>
      <c r="H569" s="510"/>
      <c r="I569" s="510"/>
      <c r="J569" s="510"/>
      <c r="K569" s="510"/>
      <c r="L569" s="510"/>
    </row>
    <row r="570" spans="2:12">
      <c r="B570" s="510"/>
      <c r="C570" s="510"/>
      <c r="D570" s="510"/>
      <c r="E570" s="510"/>
      <c r="F570" s="510"/>
      <c r="G570" s="510"/>
      <c r="H570" s="510"/>
      <c r="I570" s="510"/>
      <c r="J570" s="510"/>
      <c r="K570" s="510"/>
      <c r="L570" s="510"/>
    </row>
    <row r="571" spans="2:12">
      <c r="B571" s="510"/>
      <c r="C571" s="510"/>
      <c r="D571" s="510"/>
      <c r="E571" s="510"/>
      <c r="F571" s="510"/>
      <c r="G571" s="510"/>
      <c r="H571" s="510"/>
      <c r="I571" s="510"/>
      <c r="J571" s="510"/>
      <c r="K571" s="510"/>
      <c r="L571" s="510"/>
    </row>
    <row r="572" spans="2:12">
      <c r="B572" s="510"/>
      <c r="C572" s="510"/>
      <c r="D572" s="510"/>
      <c r="E572" s="510"/>
      <c r="F572" s="510"/>
      <c r="G572" s="510"/>
      <c r="H572" s="510"/>
      <c r="I572" s="510"/>
      <c r="J572" s="510"/>
      <c r="K572" s="510"/>
      <c r="L572" s="510"/>
    </row>
    <row r="573" spans="2:12">
      <c r="B573" s="510"/>
      <c r="C573" s="510"/>
      <c r="D573" s="510"/>
      <c r="E573" s="510"/>
      <c r="F573" s="510"/>
      <c r="G573" s="510"/>
      <c r="H573" s="510"/>
      <c r="I573" s="510"/>
      <c r="J573" s="510"/>
      <c r="K573" s="510"/>
      <c r="L573" s="510"/>
    </row>
    <row r="574" spans="2:12">
      <c r="B574" s="510"/>
      <c r="C574" s="510"/>
      <c r="D574" s="510"/>
      <c r="E574" s="510"/>
      <c r="F574" s="510"/>
      <c r="G574" s="510"/>
      <c r="H574" s="510"/>
      <c r="I574" s="510"/>
      <c r="J574" s="510"/>
      <c r="K574" s="510"/>
      <c r="L574" s="510"/>
    </row>
    <row r="575" spans="2:12">
      <c r="B575" s="510"/>
      <c r="C575" s="510"/>
      <c r="D575" s="510"/>
      <c r="E575" s="510"/>
      <c r="F575" s="510"/>
      <c r="G575" s="510"/>
      <c r="H575" s="510"/>
      <c r="I575" s="510"/>
      <c r="J575" s="510"/>
      <c r="K575" s="510"/>
      <c r="L575" s="510"/>
    </row>
    <row r="576" spans="2:12">
      <c r="B576" s="510"/>
      <c r="C576" s="510"/>
      <c r="D576" s="510"/>
      <c r="E576" s="510"/>
      <c r="F576" s="510"/>
      <c r="G576" s="510"/>
      <c r="H576" s="510"/>
      <c r="I576" s="510"/>
      <c r="J576" s="510"/>
      <c r="K576" s="510"/>
      <c r="L576" s="510"/>
    </row>
    <row r="577" spans="2:12">
      <c r="B577" s="510"/>
      <c r="C577" s="510"/>
      <c r="D577" s="510"/>
      <c r="E577" s="510"/>
      <c r="F577" s="510"/>
      <c r="G577" s="510"/>
      <c r="H577" s="510"/>
      <c r="I577" s="510"/>
      <c r="J577" s="510"/>
      <c r="K577" s="510"/>
      <c r="L577" s="510"/>
    </row>
    <row r="578" spans="2:12">
      <c r="B578" s="510"/>
      <c r="C578" s="510"/>
      <c r="D578" s="510"/>
      <c r="E578" s="510"/>
      <c r="F578" s="510"/>
      <c r="G578" s="510"/>
      <c r="H578" s="510"/>
      <c r="I578" s="510"/>
      <c r="J578" s="510"/>
      <c r="K578" s="510"/>
      <c r="L578" s="510"/>
    </row>
    <row r="579" spans="2:12">
      <c r="B579" s="510"/>
      <c r="C579" s="510"/>
      <c r="D579" s="510"/>
      <c r="E579" s="510"/>
      <c r="F579" s="510"/>
      <c r="G579" s="510"/>
      <c r="H579" s="510"/>
      <c r="I579" s="510"/>
      <c r="J579" s="510"/>
      <c r="K579" s="510"/>
      <c r="L579" s="510"/>
    </row>
    <row r="580" spans="2:12">
      <c r="B580" s="510"/>
      <c r="C580" s="510"/>
      <c r="D580" s="510"/>
      <c r="E580" s="510"/>
      <c r="F580" s="510"/>
      <c r="G580" s="510"/>
      <c r="H580" s="510"/>
      <c r="I580" s="510"/>
      <c r="J580" s="510"/>
      <c r="K580" s="510"/>
      <c r="L580" s="510"/>
    </row>
    <row r="581" spans="2:12">
      <c r="B581" s="510"/>
      <c r="C581" s="510"/>
      <c r="D581" s="510"/>
      <c r="E581" s="510"/>
      <c r="F581" s="510"/>
      <c r="G581" s="510"/>
      <c r="H581" s="510"/>
      <c r="I581" s="510"/>
      <c r="J581" s="510"/>
      <c r="K581" s="510"/>
      <c r="L581" s="510"/>
    </row>
    <row r="582" spans="2:12">
      <c r="B582" s="510"/>
      <c r="C582" s="510"/>
      <c r="D582" s="510"/>
      <c r="E582" s="510"/>
      <c r="F582" s="510"/>
      <c r="G582" s="510"/>
      <c r="H582" s="510"/>
      <c r="I582" s="510"/>
      <c r="J582" s="510"/>
      <c r="K582" s="510"/>
      <c r="L582" s="510"/>
    </row>
    <row r="583" spans="2:12">
      <c r="B583" s="510"/>
      <c r="C583" s="510"/>
      <c r="D583" s="510"/>
      <c r="E583" s="510"/>
      <c r="F583" s="510"/>
      <c r="G583" s="510"/>
      <c r="H583" s="510"/>
      <c r="I583" s="510"/>
      <c r="J583" s="510"/>
      <c r="K583" s="510"/>
      <c r="L583" s="510"/>
    </row>
    <row r="584" spans="2:12">
      <c r="B584" s="510"/>
      <c r="C584" s="510"/>
      <c r="D584" s="510"/>
      <c r="E584" s="510"/>
      <c r="F584" s="510"/>
      <c r="G584" s="510"/>
      <c r="H584" s="510"/>
      <c r="I584" s="510"/>
      <c r="J584" s="510"/>
      <c r="K584" s="510"/>
      <c r="L584" s="510"/>
    </row>
    <row r="585" spans="2:12">
      <c r="B585" s="510"/>
      <c r="C585" s="510"/>
      <c r="D585" s="510"/>
      <c r="E585" s="510"/>
      <c r="F585" s="510"/>
      <c r="G585" s="510"/>
      <c r="H585" s="510"/>
      <c r="I585" s="510"/>
      <c r="J585" s="510"/>
      <c r="K585" s="510"/>
      <c r="L585" s="510"/>
    </row>
    <row r="586" spans="2:12">
      <c r="B586" s="510"/>
      <c r="C586" s="510"/>
      <c r="D586" s="510"/>
      <c r="E586" s="510"/>
      <c r="F586" s="510"/>
      <c r="G586" s="510"/>
      <c r="H586" s="510"/>
      <c r="I586" s="510"/>
      <c r="J586" s="510"/>
      <c r="K586" s="510"/>
      <c r="L586" s="510"/>
    </row>
    <row r="587" spans="2:12">
      <c r="B587" s="510"/>
      <c r="C587" s="510"/>
      <c r="D587" s="510"/>
      <c r="E587" s="510"/>
      <c r="F587" s="510"/>
      <c r="G587" s="510"/>
      <c r="H587" s="510"/>
      <c r="I587" s="510"/>
      <c r="J587" s="510"/>
      <c r="K587" s="510"/>
      <c r="L587" s="510"/>
    </row>
    <row r="588" spans="2:12">
      <c r="B588" s="510"/>
      <c r="C588" s="510"/>
      <c r="D588" s="510"/>
      <c r="E588" s="510"/>
      <c r="F588" s="510"/>
      <c r="G588" s="510"/>
      <c r="H588" s="510"/>
      <c r="I588" s="510"/>
      <c r="J588" s="510"/>
      <c r="K588" s="510"/>
      <c r="L588" s="510"/>
    </row>
    <row r="589" spans="2:12">
      <c r="B589" s="510"/>
      <c r="C589" s="510"/>
      <c r="D589" s="510"/>
      <c r="E589" s="510"/>
      <c r="F589" s="510"/>
      <c r="G589" s="510"/>
      <c r="H589" s="510"/>
      <c r="I589" s="510"/>
      <c r="J589" s="510"/>
      <c r="K589" s="510"/>
      <c r="L589" s="510"/>
    </row>
    <row r="590" spans="2:12">
      <c r="B590" s="510"/>
      <c r="C590" s="510"/>
      <c r="D590" s="510"/>
      <c r="E590" s="510"/>
      <c r="F590" s="510"/>
      <c r="G590" s="510"/>
      <c r="H590" s="510"/>
      <c r="I590" s="510"/>
      <c r="J590" s="510"/>
      <c r="K590" s="510"/>
      <c r="L590" s="510"/>
    </row>
    <row r="591" spans="2:12">
      <c r="B591" s="510"/>
      <c r="C591" s="510"/>
      <c r="D591" s="510"/>
      <c r="E591" s="510"/>
      <c r="F591" s="510"/>
      <c r="G591" s="510"/>
      <c r="H591" s="510"/>
      <c r="I591" s="510"/>
      <c r="J591" s="510"/>
      <c r="K591" s="510"/>
      <c r="L591" s="510"/>
    </row>
    <row r="592" spans="2:12">
      <c r="B592" s="510"/>
      <c r="C592" s="510"/>
      <c r="D592" s="510"/>
      <c r="E592" s="510"/>
      <c r="F592" s="510"/>
      <c r="G592" s="510"/>
      <c r="H592" s="510"/>
      <c r="I592" s="510"/>
      <c r="J592" s="510"/>
      <c r="K592" s="510"/>
      <c r="L592" s="510"/>
    </row>
    <row r="593" spans="2:12">
      <c r="B593" s="510"/>
      <c r="C593" s="510"/>
      <c r="D593" s="510"/>
      <c r="E593" s="510"/>
      <c r="F593" s="510"/>
      <c r="G593" s="510"/>
      <c r="H593" s="510"/>
      <c r="I593" s="510"/>
      <c r="J593" s="510"/>
      <c r="K593" s="510"/>
      <c r="L593" s="510"/>
    </row>
    <row r="594" spans="2:12">
      <c r="B594" s="510"/>
      <c r="C594" s="510"/>
      <c r="D594" s="510"/>
      <c r="E594" s="510"/>
      <c r="F594" s="510"/>
      <c r="G594" s="510"/>
      <c r="H594" s="510"/>
      <c r="I594" s="510"/>
      <c r="J594" s="510"/>
      <c r="K594" s="510"/>
      <c r="L594" s="510"/>
    </row>
    <row r="595" spans="2:12">
      <c r="B595" s="510"/>
      <c r="C595" s="510"/>
      <c r="D595" s="510"/>
      <c r="E595" s="510"/>
      <c r="F595" s="510"/>
      <c r="G595" s="510"/>
      <c r="H595" s="510"/>
      <c r="I595" s="510"/>
      <c r="J595" s="510"/>
      <c r="K595" s="510"/>
      <c r="L595" s="510"/>
    </row>
    <row r="596" spans="2:12">
      <c r="B596" s="510"/>
      <c r="C596" s="510"/>
      <c r="D596" s="510"/>
      <c r="E596" s="510"/>
      <c r="F596" s="510"/>
      <c r="G596" s="510"/>
      <c r="H596" s="510"/>
      <c r="I596" s="510"/>
      <c r="J596" s="510"/>
      <c r="K596" s="510"/>
      <c r="L596" s="510"/>
    </row>
    <row r="597" spans="2:12">
      <c r="B597" s="510"/>
      <c r="C597" s="510"/>
      <c r="D597" s="510"/>
      <c r="E597" s="510"/>
      <c r="F597" s="510"/>
      <c r="G597" s="510"/>
      <c r="H597" s="510"/>
      <c r="I597" s="510"/>
      <c r="J597" s="510"/>
      <c r="K597" s="510"/>
      <c r="L597" s="510"/>
    </row>
    <row r="598" spans="2:12">
      <c r="B598" s="510"/>
      <c r="C598" s="510"/>
      <c r="D598" s="510"/>
      <c r="E598" s="510"/>
      <c r="F598" s="510"/>
      <c r="G598" s="510"/>
      <c r="H598" s="510"/>
      <c r="I598" s="510"/>
      <c r="J598" s="510"/>
      <c r="K598" s="510"/>
      <c r="L598" s="510"/>
    </row>
    <row r="599" spans="2:12">
      <c r="B599" s="510"/>
      <c r="C599" s="510"/>
      <c r="D599" s="510"/>
      <c r="E599" s="510"/>
      <c r="F599" s="510"/>
      <c r="G599" s="510"/>
      <c r="H599" s="510"/>
      <c r="I599" s="510"/>
      <c r="J599" s="510"/>
      <c r="K599" s="510"/>
      <c r="L599" s="510"/>
    </row>
    <row r="600" spans="2:12">
      <c r="B600" s="510"/>
      <c r="C600" s="510"/>
      <c r="D600" s="510"/>
      <c r="E600" s="510"/>
      <c r="F600" s="510"/>
      <c r="G600" s="510"/>
      <c r="H600" s="510"/>
      <c r="I600" s="510"/>
      <c r="J600" s="510"/>
      <c r="K600" s="510"/>
      <c r="L600" s="510"/>
    </row>
    <row r="601" spans="2:12">
      <c r="B601" s="510"/>
      <c r="C601" s="510"/>
      <c r="D601" s="510"/>
      <c r="E601" s="510"/>
      <c r="F601" s="510"/>
      <c r="G601" s="510"/>
      <c r="H601" s="510"/>
      <c r="I601" s="510"/>
      <c r="J601" s="510"/>
      <c r="K601" s="510"/>
      <c r="L601" s="510"/>
    </row>
    <row r="602" spans="2:12">
      <c r="B602" s="510"/>
      <c r="C602" s="510"/>
      <c r="D602" s="510"/>
      <c r="E602" s="510"/>
      <c r="F602" s="510"/>
      <c r="G602" s="510"/>
      <c r="H602" s="510"/>
      <c r="I602" s="510"/>
      <c r="J602" s="510"/>
      <c r="K602" s="510"/>
      <c r="L602" s="510"/>
    </row>
    <row r="603" spans="2:12">
      <c r="B603" s="510"/>
      <c r="C603" s="510"/>
      <c r="D603" s="510"/>
      <c r="E603" s="510"/>
      <c r="F603" s="510"/>
      <c r="G603" s="510"/>
      <c r="H603" s="510"/>
      <c r="I603" s="510"/>
      <c r="J603" s="510"/>
      <c r="K603" s="510"/>
      <c r="L603" s="510"/>
    </row>
    <row r="604" spans="2:12">
      <c r="B604" s="510"/>
      <c r="C604" s="510"/>
      <c r="D604" s="510"/>
      <c r="E604" s="510"/>
      <c r="F604" s="510"/>
      <c r="G604" s="510"/>
      <c r="H604" s="510"/>
      <c r="I604" s="510"/>
      <c r="J604" s="510"/>
      <c r="K604" s="510"/>
      <c r="L604" s="510"/>
    </row>
    <row r="605" spans="2:12">
      <c r="B605" s="510"/>
      <c r="C605" s="510"/>
      <c r="D605" s="510"/>
      <c r="E605" s="510"/>
      <c r="F605" s="510"/>
      <c r="G605" s="510"/>
      <c r="H605" s="510"/>
      <c r="I605" s="510"/>
      <c r="J605" s="510"/>
      <c r="K605" s="510"/>
      <c r="L605" s="510"/>
    </row>
    <row r="606" spans="2:12">
      <c r="B606" s="510"/>
      <c r="C606" s="510"/>
      <c r="D606" s="510"/>
      <c r="E606" s="510"/>
      <c r="F606" s="510"/>
      <c r="G606" s="510"/>
      <c r="H606" s="510"/>
      <c r="I606" s="510"/>
      <c r="J606" s="510"/>
      <c r="K606" s="510"/>
      <c r="L606" s="510"/>
    </row>
    <row r="607" spans="2:12">
      <c r="B607" s="510"/>
      <c r="C607" s="510"/>
      <c r="D607" s="510"/>
      <c r="E607" s="510"/>
      <c r="F607" s="510"/>
      <c r="G607" s="510"/>
      <c r="H607" s="510"/>
      <c r="I607" s="510"/>
      <c r="J607" s="510"/>
      <c r="K607" s="510"/>
      <c r="L607" s="510"/>
    </row>
    <row r="608" spans="2:12">
      <c r="B608" s="510"/>
      <c r="C608" s="510"/>
      <c r="D608" s="510"/>
      <c r="E608" s="510"/>
      <c r="F608" s="510"/>
      <c r="G608" s="510"/>
      <c r="H608" s="510"/>
      <c r="I608" s="510"/>
      <c r="J608" s="510"/>
      <c r="K608" s="510"/>
      <c r="L608" s="510"/>
    </row>
    <row r="609" spans="2:12">
      <c r="B609" s="510"/>
      <c r="C609" s="510"/>
      <c r="D609" s="510"/>
      <c r="E609" s="510"/>
      <c r="F609" s="510"/>
      <c r="G609" s="510"/>
      <c r="H609" s="510"/>
      <c r="I609" s="510"/>
      <c r="J609" s="510"/>
      <c r="K609" s="510"/>
      <c r="L609" s="510"/>
    </row>
    <row r="610" spans="2:12">
      <c r="B610" s="510"/>
      <c r="C610" s="510"/>
      <c r="D610" s="510"/>
      <c r="E610" s="510"/>
      <c r="F610" s="510"/>
      <c r="G610" s="510"/>
      <c r="H610" s="510"/>
      <c r="I610" s="510"/>
      <c r="J610" s="510"/>
      <c r="K610" s="510"/>
      <c r="L610" s="510"/>
    </row>
    <row r="611" spans="2:12">
      <c r="B611" s="510"/>
      <c r="C611" s="510"/>
      <c r="D611" s="510"/>
      <c r="E611" s="510"/>
      <c r="F611" s="510"/>
      <c r="G611" s="510"/>
      <c r="H611" s="510"/>
      <c r="I611" s="510"/>
      <c r="J611" s="510"/>
      <c r="K611" s="510"/>
      <c r="L611" s="510"/>
    </row>
    <row r="612" spans="2:12">
      <c r="B612" s="510"/>
      <c r="C612" s="510"/>
      <c r="D612" s="510"/>
      <c r="E612" s="510"/>
      <c r="F612" s="510"/>
      <c r="G612" s="510"/>
      <c r="H612" s="510"/>
      <c r="I612" s="510"/>
      <c r="J612" s="510"/>
      <c r="K612" s="510"/>
      <c r="L612" s="510"/>
    </row>
    <row r="613" spans="2:12">
      <c r="B613" s="510"/>
      <c r="C613" s="510"/>
      <c r="D613" s="510"/>
      <c r="E613" s="510"/>
      <c r="F613" s="510"/>
      <c r="G613" s="510"/>
      <c r="H613" s="510"/>
      <c r="I613" s="510"/>
      <c r="J613" s="510"/>
      <c r="K613" s="510"/>
      <c r="L613" s="510"/>
    </row>
    <row r="614" spans="2:12">
      <c r="B614" s="510"/>
      <c r="C614" s="510"/>
      <c r="D614" s="510"/>
      <c r="E614" s="510"/>
      <c r="F614" s="510"/>
      <c r="G614" s="510"/>
      <c r="H614" s="510"/>
      <c r="I614" s="510"/>
      <c r="J614" s="510"/>
      <c r="K614" s="510"/>
      <c r="L614" s="510"/>
    </row>
    <row r="615" spans="2:12">
      <c r="B615" s="510"/>
      <c r="C615" s="510"/>
      <c r="D615" s="510"/>
      <c r="E615" s="510"/>
      <c r="F615" s="510"/>
      <c r="G615" s="510"/>
      <c r="H615" s="510"/>
      <c r="I615" s="510"/>
      <c r="J615" s="510"/>
      <c r="K615" s="510"/>
      <c r="L615" s="510"/>
    </row>
    <row r="616" spans="2:12">
      <c r="B616" s="510"/>
      <c r="C616" s="510"/>
      <c r="D616" s="510"/>
      <c r="E616" s="510"/>
      <c r="F616" s="510"/>
      <c r="G616" s="510"/>
      <c r="H616" s="510"/>
      <c r="I616" s="510"/>
      <c r="J616" s="510"/>
      <c r="K616" s="510"/>
      <c r="L616" s="510"/>
    </row>
    <row r="617" spans="2:12">
      <c r="B617" s="510"/>
      <c r="C617" s="510"/>
      <c r="D617" s="510"/>
      <c r="E617" s="510"/>
      <c r="F617" s="510"/>
      <c r="G617" s="510"/>
      <c r="H617" s="510"/>
      <c r="I617" s="510"/>
      <c r="J617" s="510"/>
      <c r="K617" s="510"/>
      <c r="L617" s="510"/>
    </row>
    <row r="618" spans="2:12">
      <c r="B618" s="510"/>
      <c r="C618" s="510"/>
      <c r="D618" s="510"/>
      <c r="E618" s="510"/>
      <c r="F618" s="510"/>
      <c r="G618" s="510"/>
      <c r="H618" s="510"/>
      <c r="I618" s="510"/>
      <c r="J618" s="510"/>
      <c r="K618" s="510"/>
      <c r="L618" s="510"/>
    </row>
    <row r="619" spans="2:12">
      <c r="B619" s="510"/>
      <c r="C619" s="510"/>
      <c r="D619" s="510"/>
      <c r="E619" s="510"/>
      <c r="F619" s="510"/>
      <c r="G619" s="510"/>
      <c r="H619" s="510"/>
      <c r="I619" s="510"/>
      <c r="J619" s="510"/>
      <c r="K619" s="510"/>
      <c r="L619" s="510"/>
    </row>
    <row r="620" spans="2:12">
      <c r="B620" s="510"/>
      <c r="C620" s="510"/>
      <c r="D620" s="510"/>
      <c r="E620" s="510"/>
      <c r="F620" s="510"/>
      <c r="G620" s="510"/>
      <c r="H620" s="510"/>
      <c r="I620" s="510"/>
      <c r="J620" s="510"/>
      <c r="K620" s="510"/>
      <c r="L620" s="510"/>
    </row>
    <row r="621" spans="2:12">
      <c r="B621" s="510"/>
      <c r="C621" s="510"/>
      <c r="D621" s="510"/>
      <c r="E621" s="510"/>
      <c r="F621" s="510"/>
      <c r="G621" s="510"/>
      <c r="H621" s="510"/>
      <c r="I621" s="510"/>
      <c r="J621" s="510"/>
      <c r="K621" s="510"/>
      <c r="L621" s="510"/>
    </row>
    <row r="622" spans="2:12">
      <c r="B622" s="510"/>
      <c r="C622" s="510"/>
      <c r="D622" s="510"/>
      <c r="E622" s="510"/>
      <c r="F622" s="510"/>
      <c r="G622" s="510"/>
      <c r="H622" s="510"/>
      <c r="I622" s="510"/>
      <c r="J622" s="510"/>
      <c r="K622" s="510"/>
      <c r="L622" s="510"/>
    </row>
    <row r="623" spans="2:12">
      <c r="B623" s="510"/>
      <c r="C623" s="510"/>
      <c r="D623" s="510"/>
      <c r="E623" s="510"/>
      <c r="F623" s="510"/>
      <c r="G623" s="510"/>
      <c r="H623" s="510"/>
      <c r="I623" s="510"/>
      <c r="J623" s="510"/>
      <c r="K623" s="510"/>
      <c r="L623" s="510"/>
    </row>
    <row r="624" spans="2:12">
      <c r="B624" s="510"/>
      <c r="C624" s="510"/>
      <c r="D624" s="510"/>
      <c r="E624" s="510"/>
      <c r="F624" s="510"/>
      <c r="G624" s="510"/>
      <c r="H624" s="510"/>
      <c r="I624" s="510"/>
      <c r="J624" s="510"/>
      <c r="K624" s="510"/>
      <c r="L624" s="510"/>
    </row>
    <row r="625" spans="2:12">
      <c r="B625" s="510"/>
      <c r="C625" s="510"/>
      <c r="D625" s="510"/>
      <c r="E625" s="510"/>
      <c r="F625" s="510"/>
      <c r="G625" s="510"/>
      <c r="H625" s="510"/>
      <c r="I625" s="510"/>
      <c r="J625" s="510"/>
      <c r="K625" s="510"/>
      <c r="L625" s="510"/>
    </row>
    <row r="626" spans="2:12">
      <c r="B626" s="510"/>
      <c r="C626" s="510"/>
      <c r="D626" s="510"/>
      <c r="E626" s="510"/>
      <c r="F626" s="510"/>
      <c r="G626" s="510"/>
      <c r="H626" s="510"/>
      <c r="I626" s="510"/>
      <c r="J626" s="510"/>
      <c r="K626" s="510"/>
      <c r="L626" s="510"/>
    </row>
    <row r="627" spans="2:12">
      <c r="B627" s="510"/>
      <c r="C627" s="510"/>
      <c r="D627" s="510"/>
      <c r="E627" s="510"/>
      <c r="F627" s="510"/>
      <c r="G627" s="510"/>
      <c r="H627" s="510"/>
      <c r="I627" s="510"/>
      <c r="J627" s="510"/>
      <c r="K627" s="510"/>
      <c r="L627" s="510"/>
    </row>
    <row r="628" spans="2:12">
      <c r="B628" s="510"/>
      <c r="C628" s="510"/>
      <c r="D628" s="510"/>
      <c r="E628" s="510"/>
      <c r="F628" s="510"/>
      <c r="G628" s="510"/>
      <c r="H628" s="510"/>
      <c r="I628" s="510"/>
      <c r="J628" s="510"/>
      <c r="K628" s="510"/>
      <c r="L628" s="510"/>
    </row>
    <row r="629" spans="2:12">
      <c r="B629" s="510"/>
      <c r="C629" s="510"/>
      <c r="D629" s="510"/>
      <c r="E629" s="510"/>
      <c r="F629" s="510"/>
      <c r="G629" s="510"/>
      <c r="H629" s="510"/>
      <c r="I629" s="510"/>
      <c r="J629" s="510"/>
      <c r="K629" s="510"/>
      <c r="L629" s="510"/>
    </row>
    <row r="630" spans="2:12">
      <c r="B630" s="510"/>
      <c r="C630" s="510"/>
      <c r="D630" s="510"/>
      <c r="E630" s="510"/>
      <c r="F630" s="510"/>
      <c r="G630" s="510"/>
      <c r="H630" s="510"/>
      <c r="I630" s="510"/>
      <c r="J630" s="510"/>
      <c r="K630" s="510"/>
      <c r="L630" s="510"/>
    </row>
    <row r="631" spans="2:12">
      <c r="B631" s="510"/>
      <c r="C631" s="510"/>
      <c r="D631" s="510"/>
      <c r="E631" s="510"/>
      <c r="F631" s="510"/>
      <c r="G631" s="510"/>
      <c r="H631" s="510"/>
      <c r="I631" s="510"/>
      <c r="J631" s="510"/>
      <c r="K631" s="510"/>
      <c r="L631" s="510"/>
    </row>
    <row r="632" spans="2:12">
      <c r="B632" s="510"/>
      <c r="C632" s="510"/>
      <c r="D632" s="510"/>
      <c r="E632" s="510"/>
      <c r="F632" s="510"/>
      <c r="G632" s="510"/>
      <c r="H632" s="510"/>
      <c r="I632" s="510"/>
      <c r="J632" s="510"/>
      <c r="K632" s="510"/>
      <c r="L632" s="510"/>
    </row>
    <row r="633" spans="2:12">
      <c r="B633" s="510"/>
      <c r="C633" s="510"/>
      <c r="D633" s="510"/>
      <c r="E633" s="510"/>
      <c r="F633" s="510"/>
      <c r="G633" s="510"/>
      <c r="H633" s="510"/>
      <c r="I633" s="510"/>
      <c r="J633" s="510"/>
      <c r="K633" s="510"/>
      <c r="L633" s="510"/>
    </row>
    <row r="634" spans="2:12">
      <c r="B634" s="510"/>
      <c r="C634" s="510"/>
      <c r="D634" s="510"/>
      <c r="E634" s="510"/>
      <c r="F634" s="510"/>
      <c r="G634" s="510"/>
      <c r="H634" s="510"/>
      <c r="I634" s="510"/>
      <c r="J634" s="510"/>
      <c r="K634" s="510"/>
      <c r="L634" s="510"/>
    </row>
    <row r="635" spans="2:12">
      <c r="B635" s="510"/>
      <c r="C635" s="510"/>
      <c r="D635" s="510"/>
      <c r="E635" s="510"/>
      <c r="F635" s="510"/>
      <c r="G635" s="510"/>
      <c r="H635" s="510"/>
      <c r="I635" s="510"/>
      <c r="J635" s="510"/>
      <c r="K635" s="510"/>
      <c r="L635" s="510"/>
    </row>
    <row r="636" spans="2:12">
      <c r="B636" s="510"/>
      <c r="C636" s="510"/>
      <c r="D636" s="510"/>
      <c r="E636" s="510"/>
      <c r="F636" s="510"/>
      <c r="G636" s="510"/>
      <c r="H636" s="510"/>
      <c r="I636" s="510"/>
      <c r="J636" s="510"/>
      <c r="K636" s="510"/>
      <c r="L636" s="510"/>
    </row>
    <row r="637" spans="2:12">
      <c r="B637" s="510"/>
      <c r="C637" s="510"/>
      <c r="D637" s="510"/>
      <c r="E637" s="510"/>
      <c r="F637" s="510"/>
      <c r="G637" s="510"/>
      <c r="H637" s="510"/>
      <c r="I637" s="510"/>
      <c r="J637" s="510"/>
      <c r="K637" s="510"/>
      <c r="L637" s="510"/>
    </row>
    <row r="638" spans="2:12">
      <c r="B638" s="510"/>
      <c r="C638" s="510"/>
      <c r="D638" s="510"/>
      <c r="E638" s="510"/>
      <c r="F638" s="510"/>
      <c r="G638" s="510"/>
      <c r="H638" s="510"/>
      <c r="I638" s="510"/>
      <c r="J638" s="510"/>
      <c r="K638" s="510"/>
      <c r="L638" s="510"/>
    </row>
    <row r="639" spans="2:12">
      <c r="B639" s="510"/>
      <c r="C639" s="510"/>
      <c r="D639" s="510"/>
      <c r="E639" s="510"/>
      <c r="F639" s="510"/>
      <c r="G639" s="510"/>
      <c r="H639" s="510"/>
      <c r="I639" s="510"/>
      <c r="J639" s="510"/>
      <c r="K639" s="510"/>
      <c r="L639" s="510"/>
    </row>
    <row r="640" spans="2:12">
      <c r="B640" s="510"/>
      <c r="C640" s="510"/>
      <c r="D640" s="510"/>
      <c r="E640" s="510"/>
      <c r="F640" s="510"/>
      <c r="G640" s="510"/>
      <c r="H640" s="510"/>
      <c r="I640" s="510"/>
      <c r="J640" s="510"/>
      <c r="K640" s="510"/>
      <c r="L640" s="510"/>
    </row>
    <row r="641" spans="2:12">
      <c r="B641" s="510"/>
      <c r="C641" s="510"/>
      <c r="D641" s="510"/>
      <c r="E641" s="510"/>
      <c r="F641" s="510"/>
      <c r="G641" s="510"/>
      <c r="H641" s="510"/>
      <c r="I641" s="510"/>
      <c r="J641" s="510"/>
      <c r="K641" s="510"/>
      <c r="L641" s="510"/>
    </row>
    <row r="642" spans="2:12">
      <c r="B642" s="510"/>
      <c r="C642" s="510"/>
      <c r="D642" s="510"/>
      <c r="E642" s="510"/>
      <c r="F642" s="510"/>
      <c r="G642" s="510"/>
      <c r="H642" s="510"/>
      <c r="I642" s="510"/>
      <c r="J642" s="510"/>
      <c r="K642" s="510"/>
      <c r="L642" s="510"/>
    </row>
    <row r="643" spans="2:12">
      <c r="B643" s="510"/>
      <c r="C643" s="510"/>
      <c r="D643" s="510"/>
      <c r="E643" s="510"/>
      <c r="F643" s="510"/>
      <c r="G643" s="510"/>
      <c r="H643" s="510"/>
      <c r="I643" s="510"/>
      <c r="J643" s="510"/>
      <c r="K643" s="510"/>
      <c r="L643" s="510"/>
    </row>
    <row r="644" spans="2:12">
      <c r="B644" s="510"/>
      <c r="C644" s="510"/>
      <c r="D644" s="510"/>
      <c r="E644" s="510"/>
      <c r="F644" s="510"/>
      <c r="G644" s="510"/>
      <c r="H644" s="510"/>
      <c r="I644" s="510"/>
      <c r="J644" s="510"/>
      <c r="K644" s="510"/>
      <c r="L644" s="510"/>
    </row>
    <row r="645" spans="2:12">
      <c r="B645" s="510"/>
      <c r="C645" s="510"/>
      <c r="D645" s="510"/>
      <c r="E645" s="510"/>
      <c r="F645" s="510"/>
      <c r="G645" s="510"/>
      <c r="H645" s="510"/>
      <c r="I645" s="510"/>
      <c r="J645" s="510"/>
      <c r="K645" s="510"/>
      <c r="L645" s="510"/>
    </row>
    <row r="646" spans="2:12">
      <c r="B646" s="510"/>
      <c r="C646" s="510"/>
      <c r="D646" s="510"/>
      <c r="E646" s="510"/>
      <c r="F646" s="510"/>
      <c r="G646" s="510"/>
      <c r="H646" s="510"/>
      <c r="I646" s="510"/>
      <c r="J646" s="510"/>
      <c r="K646" s="510"/>
      <c r="L646" s="510"/>
    </row>
    <row r="647" spans="2:12">
      <c r="B647" s="510"/>
      <c r="C647" s="510"/>
      <c r="D647" s="510"/>
      <c r="E647" s="510"/>
      <c r="F647" s="510"/>
      <c r="G647" s="510"/>
      <c r="H647" s="510"/>
      <c r="I647" s="510"/>
      <c r="J647" s="510"/>
      <c r="K647" s="510"/>
      <c r="L647" s="510"/>
    </row>
    <row r="648" spans="2:12">
      <c r="B648" s="510"/>
      <c r="C648" s="510"/>
      <c r="D648" s="510"/>
      <c r="E648" s="510"/>
      <c r="F648" s="510"/>
      <c r="G648" s="510"/>
      <c r="H648" s="510"/>
      <c r="I648" s="510"/>
      <c r="J648" s="510"/>
      <c r="K648" s="510"/>
      <c r="L648" s="510"/>
    </row>
    <row r="649" spans="2:12">
      <c r="B649" s="510"/>
      <c r="C649" s="510"/>
      <c r="D649" s="510"/>
      <c r="E649" s="510"/>
      <c r="F649" s="510"/>
      <c r="G649" s="510"/>
      <c r="H649" s="510"/>
      <c r="I649" s="510"/>
      <c r="J649" s="510"/>
      <c r="K649" s="510"/>
      <c r="L649" s="510"/>
    </row>
    <row r="650" spans="2:12">
      <c r="B650" s="510"/>
      <c r="C650" s="510"/>
      <c r="D650" s="510"/>
      <c r="E650" s="510"/>
      <c r="F650" s="510"/>
      <c r="G650" s="510"/>
      <c r="H650" s="510"/>
      <c r="I650" s="510"/>
      <c r="J650" s="510"/>
      <c r="K650" s="510"/>
      <c r="L650" s="510"/>
    </row>
    <row r="651" spans="2:12">
      <c r="B651" s="510"/>
      <c r="C651" s="510"/>
      <c r="D651" s="510"/>
      <c r="E651" s="510"/>
      <c r="F651" s="510"/>
      <c r="G651" s="510"/>
      <c r="H651" s="510"/>
      <c r="I651" s="510"/>
      <c r="J651" s="510"/>
      <c r="K651" s="510"/>
      <c r="L651" s="510"/>
    </row>
    <row r="652" spans="2:12">
      <c r="B652" s="510"/>
      <c r="C652" s="510"/>
      <c r="D652" s="510"/>
      <c r="E652" s="510"/>
      <c r="F652" s="510"/>
      <c r="G652" s="510"/>
      <c r="H652" s="510"/>
      <c r="I652" s="510"/>
      <c r="J652" s="510"/>
      <c r="K652" s="510"/>
      <c r="L652" s="510"/>
    </row>
    <row r="653" spans="2:12">
      <c r="B653" s="510"/>
      <c r="C653" s="510"/>
      <c r="D653" s="510"/>
      <c r="E653" s="510"/>
      <c r="F653" s="510"/>
      <c r="G653" s="510"/>
      <c r="H653" s="510"/>
      <c r="I653" s="510"/>
      <c r="J653" s="510"/>
      <c r="K653" s="510"/>
      <c r="L653" s="510"/>
    </row>
    <row r="654" spans="2:12">
      <c r="B654" s="510"/>
      <c r="C654" s="510"/>
      <c r="D654" s="510"/>
      <c r="E654" s="510"/>
      <c r="F654" s="510"/>
      <c r="G654" s="510"/>
      <c r="H654" s="510"/>
      <c r="I654" s="510"/>
      <c r="J654" s="510"/>
      <c r="K654" s="510"/>
      <c r="L654" s="510"/>
    </row>
    <row r="655" spans="2:12">
      <c r="B655" s="510"/>
      <c r="C655" s="510"/>
      <c r="D655" s="510"/>
      <c r="E655" s="510"/>
      <c r="F655" s="510"/>
      <c r="G655" s="510"/>
      <c r="H655" s="510"/>
      <c r="I655" s="510"/>
      <c r="J655" s="510"/>
      <c r="K655" s="510"/>
      <c r="L655" s="510"/>
    </row>
    <row r="656" spans="2:12">
      <c r="B656" s="510"/>
      <c r="C656" s="510"/>
      <c r="D656" s="510"/>
      <c r="E656" s="510"/>
      <c r="F656" s="510"/>
      <c r="G656" s="510"/>
      <c r="H656" s="510"/>
      <c r="I656" s="510"/>
      <c r="J656" s="510"/>
      <c r="K656" s="510"/>
      <c r="L656" s="510"/>
    </row>
    <row r="657" spans="2:12">
      <c r="B657" s="510"/>
      <c r="C657" s="510"/>
      <c r="D657" s="510"/>
      <c r="E657" s="510"/>
      <c r="F657" s="510"/>
      <c r="G657" s="510"/>
      <c r="H657" s="510"/>
      <c r="I657" s="510"/>
      <c r="J657" s="510"/>
      <c r="K657" s="510"/>
      <c r="L657" s="510"/>
    </row>
    <row r="658" spans="2:12">
      <c r="B658" s="510"/>
      <c r="C658" s="510"/>
      <c r="D658" s="510"/>
      <c r="E658" s="510"/>
      <c r="F658" s="510"/>
      <c r="G658" s="510"/>
      <c r="H658" s="510"/>
      <c r="I658" s="510"/>
      <c r="J658" s="510"/>
      <c r="K658" s="510"/>
      <c r="L658" s="510"/>
    </row>
    <row r="659" spans="2:12">
      <c r="B659" s="510"/>
      <c r="C659" s="510"/>
      <c r="D659" s="510"/>
      <c r="E659" s="510"/>
      <c r="F659" s="510"/>
      <c r="G659" s="510"/>
      <c r="H659" s="510"/>
      <c r="I659" s="510"/>
      <c r="J659" s="510"/>
      <c r="K659" s="510"/>
      <c r="L659" s="510"/>
    </row>
    <row r="660" spans="2:12">
      <c r="B660" s="510"/>
      <c r="C660" s="510"/>
      <c r="D660" s="510"/>
      <c r="E660" s="510"/>
      <c r="F660" s="510"/>
      <c r="G660" s="510"/>
      <c r="H660" s="510"/>
      <c r="I660" s="510"/>
      <c r="J660" s="510"/>
      <c r="K660" s="510"/>
      <c r="L660" s="510"/>
    </row>
    <row r="661" spans="2:12">
      <c r="B661" s="510"/>
      <c r="C661" s="510"/>
      <c r="D661" s="510"/>
      <c r="E661" s="510"/>
      <c r="F661" s="510"/>
      <c r="G661" s="510"/>
      <c r="H661" s="510"/>
      <c r="I661" s="510"/>
      <c r="J661" s="510"/>
      <c r="K661" s="510"/>
      <c r="L661" s="510"/>
    </row>
    <row r="662" spans="2:12">
      <c r="B662" s="510"/>
      <c r="C662" s="510"/>
      <c r="D662" s="510"/>
      <c r="E662" s="510"/>
      <c r="F662" s="510"/>
      <c r="G662" s="510"/>
      <c r="H662" s="510"/>
      <c r="I662" s="510"/>
      <c r="J662" s="510"/>
      <c r="K662" s="510"/>
      <c r="L662" s="510"/>
    </row>
    <row r="663" spans="2:12">
      <c r="B663" s="510"/>
      <c r="C663" s="510"/>
      <c r="D663" s="510"/>
      <c r="E663" s="510"/>
      <c r="F663" s="510"/>
      <c r="G663" s="510"/>
      <c r="H663" s="510"/>
      <c r="I663" s="510"/>
      <c r="J663" s="510"/>
      <c r="K663" s="510"/>
      <c r="L663" s="510"/>
    </row>
    <row r="664" spans="2:12">
      <c r="B664" s="510"/>
      <c r="C664" s="510"/>
      <c r="D664" s="510"/>
      <c r="E664" s="510"/>
      <c r="F664" s="510"/>
      <c r="G664" s="510"/>
      <c r="H664" s="510"/>
      <c r="I664" s="510"/>
      <c r="J664" s="510"/>
      <c r="K664" s="510"/>
      <c r="L664" s="510"/>
    </row>
    <row r="665" spans="2:12">
      <c r="B665" s="510"/>
      <c r="C665" s="510"/>
      <c r="D665" s="510"/>
      <c r="E665" s="510"/>
      <c r="F665" s="510"/>
      <c r="G665" s="510"/>
      <c r="H665" s="510"/>
      <c r="I665" s="510"/>
      <c r="J665" s="510"/>
      <c r="K665" s="510"/>
      <c r="L665" s="510"/>
    </row>
    <row r="666" spans="2:12">
      <c r="B666" s="510"/>
      <c r="C666" s="510"/>
      <c r="D666" s="510"/>
      <c r="E666" s="510"/>
      <c r="F666" s="510"/>
      <c r="G666" s="510"/>
      <c r="H666" s="510"/>
      <c r="I666" s="510"/>
      <c r="J666" s="510"/>
      <c r="K666" s="510"/>
      <c r="L666" s="510"/>
    </row>
    <row r="667" spans="2:12">
      <c r="B667" s="510"/>
      <c r="C667" s="510"/>
      <c r="D667" s="510"/>
      <c r="E667" s="510"/>
      <c r="F667" s="510"/>
      <c r="G667" s="510"/>
      <c r="H667" s="510"/>
      <c r="I667" s="510"/>
      <c r="J667" s="510"/>
      <c r="K667" s="510"/>
      <c r="L667" s="510"/>
    </row>
    <row r="668" spans="2:12">
      <c r="B668" s="510"/>
      <c r="C668" s="510"/>
      <c r="D668" s="510"/>
      <c r="E668" s="510"/>
      <c r="F668" s="510"/>
      <c r="G668" s="510"/>
      <c r="H668" s="510"/>
      <c r="I668" s="510"/>
      <c r="J668" s="510"/>
      <c r="K668" s="510"/>
      <c r="L668" s="510"/>
    </row>
    <row r="669" spans="2:12">
      <c r="B669" s="510"/>
      <c r="C669" s="510"/>
      <c r="D669" s="510"/>
      <c r="E669" s="510"/>
      <c r="F669" s="510"/>
      <c r="G669" s="510"/>
      <c r="H669" s="510"/>
      <c r="I669" s="510"/>
      <c r="J669" s="510"/>
      <c r="K669" s="510"/>
      <c r="L669" s="510"/>
    </row>
    <row r="670" spans="2:12">
      <c r="B670" s="510"/>
      <c r="C670" s="510"/>
      <c r="D670" s="510"/>
      <c r="E670" s="510"/>
      <c r="F670" s="510"/>
      <c r="G670" s="510"/>
      <c r="H670" s="510"/>
      <c r="I670" s="510"/>
      <c r="J670" s="510"/>
      <c r="K670" s="510"/>
      <c r="L670" s="510"/>
    </row>
    <row r="671" spans="2:12">
      <c r="B671" s="510"/>
      <c r="C671" s="510"/>
      <c r="D671" s="510"/>
      <c r="E671" s="510"/>
      <c r="F671" s="510"/>
      <c r="G671" s="510"/>
      <c r="H671" s="510"/>
      <c r="I671" s="510"/>
      <c r="J671" s="510"/>
      <c r="K671" s="510"/>
      <c r="L671" s="510"/>
    </row>
    <row r="672" spans="2:12">
      <c r="B672" s="510"/>
      <c r="C672" s="510"/>
      <c r="D672" s="510"/>
      <c r="E672" s="510"/>
      <c r="F672" s="510"/>
      <c r="G672" s="510"/>
      <c r="H672" s="510"/>
      <c r="I672" s="510"/>
      <c r="J672" s="510"/>
      <c r="K672" s="510"/>
      <c r="L672" s="510"/>
    </row>
    <row r="673" spans="2:12">
      <c r="B673" s="510"/>
      <c r="C673" s="510"/>
      <c r="D673" s="510"/>
      <c r="E673" s="510"/>
      <c r="F673" s="510"/>
      <c r="G673" s="510"/>
      <c r="H673" s="510"/>
      <c r="I673" s="510"/>
      <c r="J673" s="510"/>
      <c r="K673" s="510"/>
      <c r="L673" s="510"/>
    </row>
    <row r="674" spans="2:12">
      <c r="B674" s="510"/>
      <c r="C674" s="510"/>
      <c r="D674" s="510"/>
      <c r="E674" s="510"/>
      <c r="F674" s="510"/>
      <c r="G674" s="510"/>
      <c r="H674" s="510"/>
      <c r="I674" s="510"/>
      <c r="J674" s="510"/>
      <c r="K674" s="510"/>
      <c r="L674" s="510"/>
    </row>
    <row r="675" spans="2:12">
      <c r="B675" s="510"/>
      <c r="C675" s="510"/>
      <c r="D675" s="510"/>
      <c r="E675" s="510"/>
      <c r="F675" s="510"/>
      <c r="G675" s="510"/>
      <c r="H675" s="510"/>
      <c r="I675" s="510"/>
      <c r="J675" s="510"/>
      <c r="K675" s="510"/>
      <c r="L675" s="510"/>
    </row>
    <row r="676" spans="2:12">
      <c r="B676" s="510"/>
      <c r="C676" s="510"/>
      <c r="D676" s="510"/>
      <c r="E676" s="510"/>
      <c r="F676" s="510"/>
      <c r="G676" s="510"/>
      <c r="H676" s="510"/>
      <c r="I676" s="510"/>
      <c r="J676" s="510"/>
      <c r="K676" s="510"/>
      <c r="L676" s="510"/>
    </row>
    <row r="677" spans="2:12">
      <c r="B677" s="510"/>
      <c r="C677" s="510"/>
      <c r="D677" s="510"/>
      <c r="E677" s="510"/>
      <c r="F677" s="510"/>
      <c r="G677" s="510"/>
      <c r="H677" s="510"/>
      <c r="I677" s="510"/>
      <c r="J677" s="510"/>
      <c r="K677" s="510"/>
      <c r="L677" s="510"/>
    </row>
    <row r="678" spans="2:12">
      <c r="B678" s="510"/>
      <c r="C678" s="510"/>
      <c r="D678" s="510"/>
      <c r="E678" s="510"/>
      <c r="F678" s="510"/>
      <c r="G678" s="510"/>
      <c r="H678" s="510"/>
      <c r="I678" s="510"/>
      <c r="J678" s="510"/>
      <c r="K678" s="510"/>
      <c r="L678" s="510"/>
    </row>
    <row r="679" spans="2:12">
      <c r="B679" s="510"/>
      <c r="C679" s="510"/>
      <c r="D679" s="510"/>
      <c r="E679" s="510"/>
      <c r="F679" s="510"/>
      <c r="G679" s="510"/>
      <c r="H679" s="510"/>
      <c r="I679" s="510"/>
      <c r="J679" s="510"/>
      <c r="K679" s="510"/>
      <c r="L679" s="510"/>
    </row>
    <row r="680" spans="2:12">
      <c r="B680" s="510"/>
      <c r="C680" s="510"/>
      <c r="D680" s="510"/>
      <c r="E680" s="510"/>
      <c r="F680" s="510"/>
      <c r="G680" s="510"/>
      <c r="H680" s="510"/>
      <c r="I680" s="510"/>
      <c r="J680" s="510"/>
      <c r="K680" s="510"/>
      <c r="L680" s="510"/>
    </row>
    <row r="681" spans="2:12">
      <c r="B681" s="510"/>
      <c r="C681" s="510"/>
      <c r="D681" s="510"/>
      <c r="E681" s="510"/>
      <c r="F681" s="510"/>
      <c r="G681" s="510"/>
      <c r="H681" s="510"/>
      <c r="I681" s="510"/>
      <c r="J681" s="510"/>
      <c r="K681" s="510"/>
      <c r="L681" s="510"/>
    </row>
    <row r="682" spans="2:12">
      <c r="B682" s="510"/>
      <c r="C682" s="510"/>
      <c r="D682" s="510"/>
      <c r="E682" s="510"/>
      <c r="F682" s="510"/>
      <c r="G682" s="510"/>
      <c r="H682" s="510"/>
      <c r="I682" s="510"/>
      <c r="J682" s="510"/>
      <c r="K682" s="510"/>
      <c r="L682" s="510"/>
    </row>
    <row r="683" spans="2:12">
      <c r="B683" s="510"/>
      <c r="C683" s="510"/>
      <c r="D683" s="510"/>
      <c r="E683" s="510"/>
      <c r="F683" s="510"/>
      <c r="G683" s="510"/>
      <c r="H683" s="510"/>
      <c r="I683" s="510"/>
      <c r="J683" s="510"/>
      <c r="K683" s="510"/>
      <c r="L683" s="510"/>
    </row>
    <row r="684" spans="2:12">
      <c r="B684" s="510"/>
      <c r="C684" s="510"/>
      <c r="D684" s="510"/>
      <c r="E684" s="510"/>
      <c r="F684" s="510"/>
      <c r="G684" s="510"/>
      <c r="H684" s="510"/>
      <c r="I684" s="510"/>
      <c r="J684" s="510"/>
      <c r="K684" s="510"/>
      <c r="L684" s="510"/>
    </row>
    <row r="685" spans="2:12">
      <c r="B685" s="510"/>
      <c r="C685" s="510"/>
      <c r="D685" s="510"/>
      <c r="E685" s="510"/>
      <c r="F685" s="510"/>
      <c r="G685" s="510"/>
      <c r="H685" s="510"/>
      <c r="I685" s="510"/>
      <c r="J685" s="510"/>
      <c r="K685" s="510"/>
      <c r="L685" s="510"/>
    </row>
    <row r="686" spans="2:12">
      <c r="B686" s="510"/>
      <c r="C686" s="510"/>
      <c r="D686" s="510"/>
      <c r="E686" s="510"/>
      <c r="F686" s="510"/>
      <c r="G686" s="510"/>
      <c r="H686" s="510"/>
      <c r="I686" s="510"/>
      <c r="J686" s="510"/>
      <c r="K686" s="510"/>
      <c r="L686" s="510"/>
    </row>
    <row r="687" spans="2:12">
      <c r="B687" s="510"/>
      <c r="C687" s="510"/>
      <c r="D687" s="510"/>
      <c r="E687" s="510"/>
      <c r="F687" s="510"/>
      <c r="G687" s="510"/>
      <c r="H687" s="510"/>
      <c r="I687" s="510"/>
      <c r="J687" s="510"/>
      <c r="K687" s="510"/>
      <c r="L687" s="510"/>
    </row>
    <row r="688" spans="2:12">
      <c r="B688" s="510"/>
      <c r="C688" s="510"/>
      <c r="D688" s="510"/>
      <c r="E688" s="510"/>
      <c r="F688" s="510"/>
      <c r="G688" s="510"/>
      <c r="H688" s="510"/>
      <c r="I688" s="510"/>
      <c r="J688" s="510"/>
      <c r="K688" s="510"/>
      <c r="L688" s="510"/>
    </row>
    <row r="689" spans="2:12">
      <c r="B689" s="510"/>
      <c r="C689" s="510"/>
      <c r="D689" s="510"/>
      <c r="E689" s="510"/>
      <c r="F689" s="510"/>
      <c r="G689" s="510"/>
      <c r="H689" s="510"/>
      <c r="I689" s="510"/>
      <c r="J689" s="510"/>
      <c r="K689" s="510"/>
      <c r="L689" s="510"/>
    </row>
    <row r="690" spans="2:12">
      <c r="B690" s="510"/>
      <c r="C690" s="510"/>
      <c r="D690" s="510"/>
      <c r="E690" s="510"/>
      <c r="F690" s="510"/>
      <c r="G690" s="510"/>
      <c r="H690" s="510"/>
      <c r="I690" s="510"/>
      <c r="J690" s="510"/>
      <c r="K690" s="510"/>
      <c r="L690" s="510"/>
    </row>
    <row r="691" spans="2:12">
      <c r="B691" s="510"/>
      <c r="C691" s="510"/>
      <c r="D691" s="510"/>
      <c r="E691" s="510"/>
      <c r="F691" s="510"/>
      <c r="G691" s="510"/>
      <c r="H691" s="510"/>
      <c r="I691" s="510"/>
      <c r="J691" s="510"/>
      <c r="K691" s="510"/>
      <c r="L691" s="510"/>
    </row>
    <row r="692" spans="2:12">
      <c r="B692" s="510"/>
      <c r="C692" s="510"/>
      <c r="D692" s="510"/>
      <c r="E692" s="510"/>
      <c r="F692" s="510"/>
      <c r="G692" s="510"/>
      <c r="H692" s="510"/>
      <c r="I692" s="510"/>
      <c r="J692" s="510"/>
      <c r="K692" s="510"/>
      <c r="L692" s="510"/>
    </row>
    <row r="693" spans="2:12">
      <c r="B693" s="510"/>
      <c r="C693" s="510"/>
      <c r="D693" s="510"/>
      <c r="E693" s="510"/>
      <c r="F693" s="510"/>
      <c r="G693" s="510"/>
      <c r="H693" s="510"/>
      <c r="I693" s="510"/>
      <c r="J693" s="510"/>
      <c r="K693" s="510"/>
      <c r="L693" s="510"/>
    </row>
    <row r="694" spans="2:12">
      <c r="B694" s="510"/>
      <c r="C694" s="510"/>
      <c r="D694" s="510"/>
      <c r="E694" s="510"/>
      <c r="F694" s="510"/>
      <c r="G694" s="510"/>
      <c r="H694" s="510"/>
      <c r="I694" s="510"/>
      <c r="J694" s="510"/>
      <c r="K694" s="510"/>
      <c r="L694" s="510"/>
    </row>
    <row r="695" spans="2:12">
      <c r="B695" s="510"/>
      <c r="C695" s="510"/>
      <c r="D695" s="510"/>
      <c r="E695" s="510"/>
      <c r="F695" s="510"/>
      <c r="G695" s="510"/>
      <c r="H695" s="510"/>
      <c r="I695" s="510"/>
      <c r="J695" s="510"/>
      <c r="K695" s="510"/>
      <c r="L695" s="510"/>
    </row>
    <row r="696" spans="2:12">
      <c r="B696" s="510"/>
      <c r="C696" s="510"/>
      <c r="D696" s="510"/>
      <c r="E696" s="510"/>
      <c r="F696" s="510"/>
      <c r="G696" s="510"/>
      <c r="H696" s="510"/>
      <c r="I696" s="510"/>
      <c r="J696" s="510"/>
      <c r="K696" s="510"/>
      <c r="L696" s="510"/>
    </row>
    <row r="697" spans="2:12">
      <c r="B697" s="510"/>
      <c r="C697" s="510"/>
      <c r="D697" s="510"/>
      <c r="E697" s="510"/>
      <c r="F697" s="510"/>
      <c r="G697" s="510"/>
      <c r="H697" s="510"/>
      <c r="I697" s="510"/>
      <c r="J697" s="510"/>
      <c r="K697" s="510"/>
      <c r="L697" s="510"/>
    </row>
    <row r="698" spans="2:12">
      <c r="B698" s="510"/>
      <c r="C698" s="510"/>
      <c r="D698" s="510"/>
      <c r="E698" s="510"/>
      <c r="F698" s="510"/>
      <c r="G698" s="510"/>
      <c r="H698" s="510"/>
      <c r="I698" s="510"/>
      <c r="J698" s="510"/>
      <c r="K698" s="510"/>
      <c r="L698" s="510"/>
    </row>
    <row r="699" spans="2:12">
      <c r="B699" s="510"/>
      <c r="C699" s="510"/>
      <c r="D699" s="510"/>
      <c r="E699" s="510"/>
      <c r="F699" s="510"/>
      <c r="G699" s="510"/>
      <c r="H699" s="510"/>
      <c r="I699" s="510"/>
      <c r="J699" s="510"/>
      <c r="K699" s="510"/>
      <c r="L699" s="510"/>
    </row>
    <row r="700" spans="2:12">
      <c r="B700" s="510"/>
      <c r="C700" s="510"/>
      <c r="D700" s="510"/>
      <c r="E700" s="510"/>
      <c r="F700" s="510"/>
      <c r="G700" s="510"/>
      <c r="H700" s="510"/>
      <c r="I700" s="510"/>
      <c r="J700" s="510"/>
      <c r="K700" s="510"/>
      <c r="L700" s="510"/>
    </row>
    <row r="701" spans="2:12">
      <c r="B701" s="510"/>
      <c r="C701" s="510"/>
      <c r="D701" s="510"/>
      <c r="E701" s="510"/>
      <c r="F701" s="510"/>
      <c r="G701" s="510"/>
      <c r="H701" s="510"/>
      <c r="I701" s="510"/>
      <c r="J701" s="510"/>
      <c r="K701" s="510"/>
      <c r="L701" s="510"/>
    </row>
    <row r="702" spans="2:12">
      <c r="B702" s="510"/>
      <c r="C702" s="510"/>
      <c r="D702" s="510"/>
      <c r="E702" s="510"/>
      <c r="F702" s="510"/>
      <c r="G702" s="510"/>
      <c r="H702" s="510"/>
      <c r="I702" s="510"/>
      <c r="J702" s="510"/>
      <c r="K702" s="510"/>
      <c r="L702" s="510"/>
    </row>
    <row r="703" spans="2:12">
      <c r="B703" s="510"/>
      <c r="C703" s="510"/>
      <c r="D703" s="510"/>
      <c r="E703" s="510"/>
      <c r="F703" s="510"/>
      <c r="G703" s="510"/>
      <c r="H703" s="510"/>
      <c r="I703" s="510"/>
      <c r="J703" s="510"/>
      <c r="K703" s="510"/>
      <c r="L703" s="510"/>
    </row>
    <row r="704" spans="2:12">
      <c r="B704" s="510"/>
      <c r="C704" s="510"/>
      <c r="D704" s="510"/>
      <c r="E704" s="510"/>
      <c r="F704" s="510"/>
      <c r="G704" s="510"/>
      <c r="H704" s="510"/>
      <c r="I704" s="510"/>
      <c r="J704" s="510"/>
      <c r="K704" s="510"/>
      <c r="L704" s="510"/>
    </row>
    <row r="705" spans="2:12">
      <c r="B705" s="510"/>
      <c r="C705" s="510"/>
      <c r="D705" s="510"/>
      <c r="E705" s="510"/>
      <c r="F705" s="510"/>
      <c r="G705" s="510"/>
      <c r="H705" s="510"/>
      <c r="I705" s="510"/>
      <c r="J705" s="510"/>
      <c r="K705" s="510"/>
      <c r="L705" s="510"/>
    </row>
    <row r="706" spans="2:12">
      <c r="B706" s="510"/>
      <c r="C706" s="510"/>
      <c r="D706" s="510"/>
      <c r="E706" s="510"/>
      <c r="F706" s="510"/>
      <c r="G706" s="510"/>
      <c r="H706" s="510"/>
      <c r="I706" s="510"/>
      <c r="J706" s="510"/>
      <c r="K706" s="510"/>
      <c r="L706" s="510"/>
    </row>
    <row r="707" spans="2:12">
      <c r="B707" s="510"/>
      <c r="C707" s="510"/>
      <c r="D707" s="510"/>
      <c r="E707" s="510"/>
      <c r="F707" s="510"/>
      <c r="G707" s="510"/>
      <c r="H707" s="510"/>
      <c r="I707" s="510"/>
      <c r="J707" s="510"/>
      <c r="K707" s="510"/>
      <c r="L707" s="510"/>
    </row>
    <row r="708" spans="2:12">
      <c r="B708" s="510"/>
      <c r="C708" s="510"/>
      <c r="D708" s="510"/>
      <c r="E708" s="510"/>
      <c r="F708" s="510"/>
      <c r="G708" s="510"/>
      <c r="H708" s="510"/>
      <c r="I708" s="510"/>
      <c r="J708" s="510"/>
      <c r="K708" s="510"/>
      <c r="L708" s="510"/>
    </row>
    <row r="709" spans="2:12">
      <c r="B709" s="510"/>
      <c r="C709" s="510"/>
      <c r="D709" s="510"/>
      <c r="E709" s="510"/>
      <c r="F709" s="510"/>
      <c r="G709" s="510"/>
      <c r="H709" s="510"/>
      <c r="I709" s="510"/>
      <c r="J709" s="510"/>
      <c r="K709" s="510"/>
      <c r="L709" s="510"/>
    </row>
    <row r="710" spans="2:12">
      <c r="B710" s="510"/>
      <c r="C710" s="510"/>
      <c r="D710" s="510"/>
      <c r="E710" s="510"/>
      <c r="F710" s="510"/>
      <c r="G710" s="510"/>
      <c r="H710" s="510"/>
      <c r="I710" s="510"/>
      <c r="J710" s="510"/>
      <c r="K710" s="510"/>
      <c r="L710" s="510"/>
    </row>
    <row r="711" spans="2:12">
      <c r="B711" s="510"/>
      <c r="C711" s="510"/>
      <c r="D711" s="510"/>
      <c r="E711" s="510"/>
      <c r="F711" s="510"/>
      <c r="G711" s="510"/>
      <c r="H711" s="510"/>
      <c r="I711" s="510"/>
      <c r="J711" s="510"/>
      <c r="K711" s="510"/>
      <c r="L711" s="510"/>
    </row>
    <row r="712" spans="2:12">
      <c r="B712" s="510"/>
      <c r="C712" s="510"/>
      <c r="D712" s="510"/>
      <c r="E712" s="510"/>
      <c r="F712" s="510"/>
      <c r="G712" s="510"/>
      <c r="H712" s="510"/>
      <c r="I712" s="510"/>
      <c r="J712" s="510"/>
      <c r="K712" s="510"/>
      <c r="L712" s="510"/>
    </row>
    <row r="713" spans="2:12">
      <c r="B713" s="510"/>
      <c r="C713" s="510"/>
      <c r="D713" s="510"/>
      <c r="E713" s="510"/>
      <c r="F713" s="510"/>
      <c r="G713" s="510"/>
      <c r="H713" s="510"/>
      <c r="I713" s="510"/>
      <c r="J713" s="510"/>
      <c r="K713" s="510"/>
      <c r="L713" s="510"/>
    </row>
    <row r="714" spans="2:12">
      <c r="B714" s="510"/>
      <c r="C714" s="510"/>
      <c r="D714" s="510"/>
      <c r="E714" s="510"/>
      <c r="F714" s="510"/>
      <c r="G714" s="510"/>
      <c r="H714" s="510"/>
      <c r="I714" s="510"/>
      <c r="J714" s="510"/>
      <c r="K714" s="510"/>
      <c r="L714" s="510"/>
    </row>
    <row r="715" spans="2:12">
      <c r="B715" s="510"/>
      <c r="C715" s="510"/>
      <c r="D715" s="510"/>
      <c r="E715" s="510"/>
      <c r="F715" s="510"/>
      <c r="G715" s="510"/>
      <c r="H715" s="510"/>
      <c r="I715" s="510"/>
      <c r="J715" s="510"/>
      <c r="K715" s="510"/>
      <c r="L715" s="510"/>
    </row>
    <row r="716" spans="2:12">
      <c r="B716" s="510"/>
      <c r="C716" s="510"/>
      <c r="D716" s="510"/>
      <c r="E716" s="510"/>
      <c r="F716" s="510"/>
      <c r="G716" s="510"/>
      <c r="H716" s="510"/>
      <c r="I716" s="510"/>
      <c r="J716" s="510"/>
      <c r="K716" s="510"/>
      <c r="L716" s="510"/>
    </row>
    <row r="717" spans="2:12">
      <c r="B717" s="510"/>
      <c r="C717" s="510"/>
      <c r="D717" s="510"/>
      <c r="E717" s="510"/>
      <c r="F717" s="510"/>
      <c r="G717" s="510"/>
      <c r="H717" s="510"/>
      <c r="I717" s="510"/>
      <c r="J717" s="510"/>
      <c r="K717" s="510"/>
      <c r="L717" s="510"/>
    </row>
    <row r="718" spans="2:12">
      <c r="B718" s="510"/>
      <c r="C718" s="510"/>
      <c r="D718" s="510"/>
      <c r="E718" s="510"/>
      <c r="F718" s="510"/>
      <c r="G718" s="510"/>
      <c r="H718" s="510"/>
      <c r="I718" s="510"/>
      <c r="J718" s="510"/>
      <c r="K718" s="510"/>
      <c r="L718" s="510"/>
    </row>
    <row r="719" spans="2:12">
      <c r="B719" s="510"/>
      <c r="C719" s="510"/>
      <c r="D719" s="510"/>
      <c r="E719" s="510"/>
      <c r="F719" s="510"/>
      <c r="G719" s="510"/>
      <c r="H719" s="510"/>
      <c r="I719" s="510"/>
      <c r="J719" s="510"/>
      <c r="K719" s="510"/>
      <c r="L719" s="510"/>
    </row>
    <row r="720" spans="2:12">
      <c r="B720" s="510"/>
      <c r="C720" s="510"/>
      <c r="D720" s="510"/>
      <c r="E720" s="510"/>
      <c r="F720" s="510"/>
      <c r="G720" s="510"/>
      <c r="H720" s="510"/>
      <c r="I720" s="510"/>
      <c r="J720" s="510"/>
      <c r="K720" s="510"/>
      <c r="L720" s="510"/>
    </row>
    <row r="721" spans="2:12">
      <c r="B721" s="510"/>
      <c r="C721" s="510"/>
      <c r="D721" s="510"/>
      <c r="E721" s="510"/>
      <c r="F721" s="510"/>
      <c r="G721" s="510"/>
      <c r="H721" s="510"/>
      <c r="I721" s="510"/>
      <c r="J721" s="510"/>
      <c r="K721" s="510"/>
      <c r="L721" s="510"/>
    </row>
    <row r="722" spans="2:12">
      <c r="B722" s="510"/>
      <c r="C722" s="510"/>
      <c r="D722" s="510"/>
      <c r="E722" s="510"/>
      <c r="F722" s="510"/>
      <c r="G722" s="510"/>
      <c r="H722" s="510"/>
      <c r="I722" s="510"/>
      <c r="J722" s="510"/>
      <c r="K722" s="510"/>
      <c r="L722" s="510"/>
    </row>
    <row r="723" spans="2:12">
      <c r="B723" s="510"/>
      <c r="C723" s="510"/>
      <c r="D723" s="510"/>
      <c r="E723" s="510"/>
      <c r="F723" s="510"/>
      <c r="G723" s="510"/>
      <c r="H723" s="510"/>
      <c r="I723" s="510"/>
      <c r="J723" s="510"/>
      <c r="K723" s="510"/>
      <c r="L723" s="510"/>
    </row>
    <row r="724" spans="2:12">
      <c r="B724" s="510"/>
      <c r="C724" s="510"/>
      <c r="D724" s="510"/>
      <c r="E724" s="510"/>
      <c r="F724" s="510"/>
      <c r="G724" s="510"/>
      <c r="H724" s="510"/>
      <c r="I724" s="510"/>
      <c r="J724" s="510"/>
      <c r="K724" s="510"/>
      <c r="L724" s="510"/>
    </row>
    <row r="725" spans="2:12">
      <c r="B725" s="510"/>
      <c r="C725" s="510"/>
      <c r="D725" s="510"/>
      <c r="E725" s="510"/>
      <c r="F725" s="510"/>
      <c r="G725" s="510"/>
      <c r="H725" s="510"/>
      <c r="I725" s="510"/>
      <c r="J725" s="510"/>
      <c r="K725" s="510"/>
      <c r="L725" s="510"/>
    </row>
    <row r="726" spans="2:12">
      <c r="B726" s="510"/>
      <c r="C726" s="510"/>
      <c r="D726" s="510"/>
      <c r="E726" s="510"/>
      <c r="F726" s="510"/>
      <c r="G726" s="510"/>
      <c r="H726" s="510"/>
      <c r="I726" s="510"/>
      <c r="J726" s="510"/>
      <c r="K726" s="510"/>
      <c r="L726" s="510"/>
    </row>
    <row r="727" spans="2:12">
      <c r="B727" s="510"/>
      <c r="C727" s="510"/>
      <c r="D727" s="510"/>
      <c r="E727" s="510"/>
      <c r="F727" s="510"/>
      <c r="G727" s="510"/>
      <c r="H727" s="510"/>
      <c r="I727" s="510"/>
      <c r="J727" s="510"/>
      <c r="K727" s="510"/>
      <c r="L727" s="510"/>
    </row>
    <row r="728" spans="2:12">
      <c r="B728" s="510"/>
      <c r="C728" s="510"/>
      <c r="D728" s="510"/>
      <c r="E728" s="510"/>
      <c r="F728" s="510"/>
      <c r="G728" s="510"/>
      <c r="H728" s="510"/>
      <c r="I728" s="510"/>
      <c r="J728" s="510"/>
      <c r="K728" s="510"/>
      <c r="L728" s="510"/>
    </row>
    <row r="729" spans="2:12">
      <c r="B729" s="510"/>
      <c r="C729" s="510"/>
      <c r="D729" s="510"/>
      <c r="E729" s="510"/>
      <c r="F729" s="510"/>
      <c r="G729" s="510"/>
      <c r="H729" s="510"/>
      <c r="I729" s="510"/>
      <c r="J729" s="510"/>
      <c r="K729" s="510"/>
      <c r="L729" s="510"/>
    </row>
    <row r="730" spans="2:12">
      <c r="B730" s="510"/>
      <c r="C730" s="510"/>
      <c r="D730" s="510"/>
      <c r="E730" s="510"/>
      <c r="F730" s="510"/>
      <c r="G730" s="510"/>
      <c r="H730" s="510"/>
      <c r="I730" s="510"/>
      <c r="J730" s="510"/>
      <c r="K730" s="510"/>
      <c r="L730" s="510"/>
    </row>
    <row r="731" spans="2:12">
      <c r="B731" s="510"/>
      <c r="C731" s="510"/>
      <c r="D731" s="510"/>
      <c r="E731" s="510"/>
      <c r="F731" s="510"/>
      <c r="G731" s="510"/>
      <c r="H731" s="510"/>
      <c r="I731" s="510"/>
      <c r="J731" s="510"/>
      <c r="K731" s="510"/>
      <c r="L731" s="510"/>
    </row>
    <row r="732" spans="2:12">
      <c r="B732" s="510"/>
      <c r="C732" s="510"/>
      <c r="D732" s="510"/>
      <c r="E732" s="510"/>
      <c r="F732" s="510"/>
      <c r="G732" s="510"/>
      <c r="H732" s="510"/>
      <c r="I732" s="510"/>
      <c r="J732" s="510"/>
      <c r="K732" s="510"/>
      <c r="L732" s="510"/>
    </row>
    <row r="733" spans="2:12">
      <c r="B733" s="510"/>
      <c r="C733" s="510"/>
      <c r="D733" s="510"/>
      <c r="E733" s="510"/>
      <c r="F733" s="510"/>
      <c r="G733" s="510"/>
      <c r="H733" s="510"/>
      <c r="I733" s="510"/>
      <c r="J733" s="510"/>
      <c r="K733" s="510"/>
      <c r="L733" s="510"/>
    </row>
    <row r="734" spans="2:12">
      <c r="B734" s="510"/>
      <c r="C734" s="510"/>
      <c r="D734" s="510"/>
      <c r="E734" s="510"/>
      <c r="F734" s="510"/>
      <c r="G734" s="510"/>
      <c r="H734" s="510"/>
      <c r="I734" s="510"/>
      <c r="J734" s="510"/>
      <c r="K734" s="510"/>
      <c r="L734" s="510"/>
    </row>
    <row r="735" spans="2:12">
      <c r="B735" s="510"/>
      <c r="C735" s="510"/>
      <c r="D735" s="510"/>
      <c r="E735" s="510"/>
      <c r="F735" s="510"/>
      <c r="G735" s="510"/>
      <c r="H735" s="510"/>
      <c r="I735" s="510"/>
      <c r="J735" s="510"/>
      <c r="K735" s="510"/>
      <c r="L735" s="510"/>
    </row>
    <row r="736" spans="2:12">
      <c r="B736" s="510"/>
      <c r="C736" s="510"/>
      <c r="D736" s="510"/>
      <c r="E736" s="510"/>
      <c r="F736" s="510"/>
      <c r="G736" s="510"/>
      <c r="H736" s="510"/>
      <c r="I736" s="510"/>
      <c r="J736" s="510"/>
      <c r="K736" s="510"/>
      <c r="L736" s="510"/>
    </row>
    <row r="737" spans="2:12">
      <c r="B737" s="510"/>
      <c r="C737" s="510"/>
      <c r="D737" s="510"/>
      <c r="E737" s="510"/>
      <c r="F737" s="510"/>
      <c r="G737" s="510"/>
      <c r="H737" s="510"/>
      <c r="I737" s="510"/>
      <c r="J737" s="510"/>
      <c r="K737" s="510"/>
      <c r="L737" s="510"/>
    </row>
    <row r="738" spans="2:12">
      <c r="B738" s="510"/>
      <c r="C738" s="510"/>
      <c r="D738" s="510"/>
      <c r="E738" s="510"/>
      <c r="F738" s="510"/>
      <c r="G738" s="510"/>
      <c r="H738" s="510"/>
      <c r="I738" s="510"/>
      <c r="J738" s="510"/>
      <c r="K738" s="510"/>
      <c r="L738" s="510"/>
    </row>
    <row r="739" spans="2:12">
      <c r="B739" s="510"/>
      <c r="C739" s="510"/>
      <c r="D739" s="510"/>
      <c r="E739" s="510"/>
      <c r="F739" s="510"/>
      <c r="G739" s="510"/>
      <c r="H739" s="510"/>
      <c r="I739" s="510"/>
      <c r="J739" s="510"/>
      <c r="K739" s="510"/>
      <c r="L739" s="510"/>
    </row>
    <row r="740" spans="2:12">
      <c r="B740" s="510"/>
      <c r="C740" s="510"/>
      <c r="D740" s="510"/>
      <c r="E740" s="510"/>
      <c r="F740" s="510"/>
      <c r="G740" s="510"/>
      <c r="H740" s="510"/>
      <c r="I740" s="510"/>
      <c r="J740" s="510"/>
      <c r="K740" s="510"/>
      <c r="L740" s="510"/>
    </row>
    <row r="741" spans="2:12">
      <c r="B741" s="510"/>
      <c r="C741" s="510"/>
      <c r="D741" s="510"/>
      <c r="E741" s="510"/>
      <c r="F741" s="510"/>
      <c r="G741" s="510"/>
      <c r="H741" s="510"/>
      <c r="I741" s="510"/>
      <c r="J741" s="510"/>
      <c r="K741" s="510"/>
      <c r="L741" s="510"/>
    </row>
  </sheetData>
  <sheetProtection password="CADB" sheet="1" objects="1" scenarios="1" formatColumns="0" formatRows="0"/>
  <mergeCells count="8">
    <mergeCell ref="B4:R4"/>
    <mergeCell ref="B154:R154"/>
    <mergeCell ref="B184:R184"/>
    <mergeCell ref="B214:R214"/>
    <mergeCell ref="B124:R124"/>
    <mergeCell ref="B34:R34"/>
    <mergeCell ref="B64:R64"/>
    <mergeCell ref="B94:R94"/>
  </mergeCells>
  <phoneticPr fontId="0" type="noConversion"/>
  <printOptions horizontalCentered="1"/>
  <pageMargins left="0.6692913385826772" right="0.47244094488188981" top="0.94488188976377963" bottom="0.98425196850393704" header="0.51181102362204722" footer="0.51181102362204722"/>
  <pageSetup paperSize="9" scale="85" orientation="portrait" blackAndWhite="1" r:id="rId1"/>
  <headerFooter alignWithMargins="0">
    <oddFooter>&amp;R&amp;F</oddFooter>
  </headerFooter>
  <rowBreaks count="1" manualBreakCount="1">
    <brk id="62" min="1" max="17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  <pageSetUpPr autoPageBreaks="0"/>
  </sheetPr>
  <dimension ref="A1:S351"/>
  <sheetViews>
    <sheetView showGridLines="0" showZeros="0" zoomScale="95" workbookViewId="0">
      <pane ySplit="9" topLeftCell="A10" activePane="bottomLeft" state="frozenSplit"/>
      <selection activeCell="D1" sqref="D1"/>
      <selection pane="bottomLeft" activeCell="Q13" sqref="Q13"/>
    </sheetView>
  </sheetViews>
  <sheetFormatPr defaultRowHeight="12.75"/>
  <cols>
    <col min="1" max="1" width="0.5703125" style="491" customWidth="1"/>
    <col min="2" max="2" width="3" style="561" bestFit="1" customWidth="1"/>
    <col min="3" max="3" width="25.140625" style="491" customWidth="1"/>
    <col min="4" max="4" width="6.140625" style="491" customWidth="1"/>
    <col min="5" max="5" width="5.42578125" style="491" customWidth="1"/>
    <col min="6" max="6" width="11.7109375" style="491" customWidth="1"/>
    <col min="7" max="7" width="1" style="491" customWidth="1"/>
    <col min="8" max="8" width="10.7109375" style="491" customWidth="1"/>
    <col min="9" max="9" width="1" style="491" customWidth="1"/>
    <col min="10" max="10" width="9.85546875" style="491" customWidth="1"/>
    <col min="11" max="11" width="9.42578125" style="491" customWidth="1"/>
    <col min="12" max="12" width="1" style="491" customWidth="1"/>
    <col min="13" max="13" width="11.5703125" style="491" customWidth="1"/>
    <col min="14" max="14" width="1" style="491" customWidth="1"/>
    <col min="15" max="15" width="11.28515625" style="491" customWidth="1"/>
    <col min="16" max="16" width="1" style="491" customWidth="1"/>
    <col min="17" max="17" width="10.7109375" style="491" customWidth="1"/>
    <col min="18" max="18" width="1" style="491" customWidth="1"/>
    <col min="19" max="19" width="10.7109375" style="491" customWidth="1"/>
    <col min="20" max="16384" width="9.140625" style="491"/>
  </cols>
  <sheetData>
    <row r="1" spans="1:19" ht="6.75" customHeight="1"/>
    <row r="2" spans="1:19" s="490" customFormat="1" ht="25.5" customHeight="1">
      <c r="A2" s="527"/>
      <c r="B2" s="562"/>
      <c r="C2" s="907" t="s">
        <v>176</v>
      </c>
    </row>
    <row r="3" spans="1:19" ht="8.25" customHeight="1"/>
    <row r="4" spans="1:19" s="496" customFormat="1" ht="21.75" customHeight="1" thickBot="1">
      <c r="B4" s="561"/>
      <c r="C4" s="1076" t="s">
        <v>13</v>
      </c>
      <c r="D4" s="1077"/>
      <c r="E4" s="1077"/>
      <c r="F4" s="1077"/>
      <c r="G4" s="1077"/>
      <c r="H4" s="1077"/>
      <c r="I4" s="1077"/>
      <c r="J4" s="1077"/>
      <c r="K4" s="1077"/>
      <c r="L4" s="1077"/>
      <c r="M4" s="1077"/>
      <c r="N4" s="1077"/>
      <c r="O4" s="1077"/>
      <c r="P4" s="1077"/>
      <c r="Q4" s="1077"/>
      <c r="R4" s="1077"/>
      <c r="S4" s="1078"/>
    </row>
    <row r="5" spans="1:19" s="496" customFormat="1" ht="6" customHeight="1">
      <c r="B5" s="561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70"/>
      <c r="O5" s="570"/>
      <c r="P5" s="570"/>
      <c r="Q5" s="570"/>
      <c r="R5" s="570"/>
      <c r="S5" s="570"/>
    </row>
    <row r="6" spans="1:19" s="496" customFormat="1" ht="33.75" customHeight="1" thickBot="1">
      <c r="B6" s="561"/>
      <c r="C6" s="576" t="s">
        <v>102</v>
      </c>
      <c r="D6" s="577" t="s">
        <v>105</v>
      </c>
      <c r="E6" s="578" t="s">
        <v>65</v>
      </c>
      <c r="F6" s="577" t="s">
        <v>101</v>
      </c>
      <c r="G6" s="578"/>
      <c r="H6" s="577" t="s">
        <v>127</v>
      </c>
      <c r="I6" s="578"/>
      <c r="J6" s="577" t="s">
        <v>494</v>
      </c>
      <c r="K6" s="579" t="s">
        <v>175</v>
      </c>
      <c r="L6" s="580"/>
      <c r="M6" s="577" t="s">
        <v>104</v>
      </c>
      <c r="N6" s="578"/>
      <c r="O6" s="577" t="s">
        <v>103</v>
      </c>
      <c r="P6" s="581"/>
      <c r="Q6" s="530" t="s">
        <v>5</v>
      </c>
      <c r="R6" s="580"/>
      <c r="S6" s="535" t="s">
        <v>14</v>
      </c>
    </row>
    <row r="7" spans="1:19" s="496" customFormat="1" ht="3.75" customHeight="1">
      <c r="B7" s="561"/>
      <c r="C7" s="563"/>
      <c r="D7" s="564"/>
      <c r="E7" s="563"/>
      <c r="F7" s="564"/>
      <c r="G7" s="563"/>
      <c r="H7" s="563"/>
      <c r="I7" s="563"/>
      <c r="J7" s="564"/>
      <c r="K7" s="525"/>
      <c r="L7" s="565"/>
      <c r="M7" s="564"/>
      <c r="N7" s="563"/>
      <c r="O7" s="564"/>
      <c r="P7" s="3"/>
      <c r="Q7" s="523"/>
      <c r="S7" s="523"/>
    </row>
    <row r="8" spans="1:19" s="496" customFormat="1" ht="17.25" customHeight="1" thickBot="1">
      <c r="B8" s="561"/>
      <c r="C8" s="563"/>
      <c r="D8" s="564"/>
      <c r="E8" s="563"/>
      <c r="F8" s="564"/>
      <c r="G8" s="563"/>
      <c r="H8" s="563"/>
      <c r="I8" s="563"/>
      <c r="J8" s="564"/>
      <c r="K8" s="525"/>
      <c r="L8" s="565"/>
      <c r="M8" s="564"/>
      <c r="N8" s="563"/>
      <c r="O8" s="559">
        <f>TRUNC((SUM(O13:O337)),2)</f>
        <v>0</v>
      </c>
      <c r="P8" s="3"/>
      <c r="Q8" s="523"/>
      <c r="S8" s="559">
        <f>TRUNC((SUM(S13:S337)),2)</f>
        <v>0</v>
      </c>
    </row>
    <row r="9" spans="1:19" s="496" customFormat="1" ht="7.5" customHeight="1">
      <c r="B9" s="561"/>
      <c r="C9" s="563"/>
      <c r="D9" s="564"/>
      <c r="E9" s="563"/>
      <c r="F9" s="564"/>
      <c r="G9" s="563"/>
      <c r="H9" s="563"/>
      <c r="I9" s="563"/>
      <c r="J9" s="564"/>
      <c r="K9" s="525"/>
      <c r="L9" s="565"/>
      <c r="M9" s="564"/>
      <c r="N9" s="563"/>
      <c r="O9" s="564"/>
      <c r="P9" s="3"/>
      <c r="Q9" s="523"/>
      <c r="S9" s="523"/>
    </row>
    <row r="10" spans="1:19" s="496" customFormat="1" ht="15" customHeight="1">
      <c r="B10" s="561"/>
      <c r="C10" s="571" t="s">
        <v>27</v>
      </c>
      <c r="D10" s="564"/>
      <c r="E10" s="563"/>
      <c r="F10" s="564"/>
      <c r="G10" s="563"/>
      <c r="H10" s="563"/>
      <c r="I10" s="563"/>
      <c r="J10" s="564"/>
      <c r="K10" s="525"/>
      <c r="L10" s="565"/>
      <c r="M10" s="564"/>
      <c r="N10" s="563"/>
      <c r="O10" s="564"/>
      <c r="P10" s="566"/>
      <c r="Q10" s="523"/>
      <c r="S10" s="523"/>
    </row>
    <row r="11" spans="1:19" s="496" customFormat="1" ht="3.75" customHeight="1">
      <c r="B11" s="561"/>
      <c r="C11" s="563"/>
      <c r="D11" s="564"/>
      <c r="E11" s="563"/>
      <c r="F11" s="564"/>
      <c r="G11" s="563"/>
      <c r="H11" s="563"/>
      <c r="I11" s="563"/>
      <c r="J11" s="564"/>
      <c r="K11" s="525"/>
      <c r="L11" s="565"/>
      <c r="M11" s="564"/>
      <c r="N11" s="563"/>
      <c r="O11" s="564"/>
      <c r="P11" s="3"/>
      <c r="Q11" s="523"/>
      <c r="S11" s="523"/>
    </row>
    <row r="12" spans="1:19" s="567" customFormat="1" ht="10.5" customHeight="1">
      <c r="C12" s="582">
        <v>1</v>
      </c>
      <c r="D12" s="582">
        <v>2</v>
      </c>
      <c r="E12" s="582">
        <v>3</v>
      </c>
      <c r="F12" s="582">
        <v>4</v>
      </c>
      <c r="G12" s="568"/>
      <c r="H12" s="582">
        <v>5</v>
      </c>
      <c r="I12" s="568"/>
      <c r="J12" s="582">
        <v>6</v>
      </c>
      <c r="K12" s="582">
        <v>7</v>
      </c>
      <c r="L12" s="568"/>
      <c r="M12" s="583">
        <v>8</v>
      </c>
      <c r="O12" s="583">
        <v>9</v>
      </c>
      <c r="Q12" s="583">
        <v>10</v>
      </c>
      <c r="S12" s="583">
        <v>11</v>
      </c>
    </row>
    <row r="13" spans="1:19" s="496" customFormat="1" ht="12">
      <c r="B13" s="561">
        <v>1</v>
      </c>
      <c r="C13" s="572" t="s">
        <v>662</v>
      </c>
      <c r="D13" s="541" t="s">
        <v>663</v>
      </c>
      <c r="E13" s="541">
        <v>5</v>
      </c>
      <c r="F13" s="543"/>
      <c r="G13" s="36">
        <f t="shared" ref="G13:G76" si="0">F13*E13</f>
        <v>0</v>
      </c>
      <c r="H13" s="554">
        <f>IF(Consolidado_Geral!$G$133=7.6%,-(0.0165+0.076)*F13,0)</f>
        <v>0</v>
      </c>
      <c r="I13" s="36">
        <f t="shared" ref="I13:I76" si="1">H13*E13</f>
        <v>0</v>
      </c>
      <c r="J13" s="574"/>
      <c r="K13" s="549">
        <v>60</v>
      </c>
      <c r="M13" s="557">
        <f>IF(E13&gt;0,(F13+H13)-J13,0)</f>
        <v>0</v>
      </c>
      <c r="N13" s="3"/>
      <c r="O13" s="557">
        <f t="shared" ref="O13:O76" si="2">IF(E13=0,0,(M13/K13)*E13)</f>
        <v>0</v>
      </c>
      <c r="Q13" s="543"/>
      <c r="S13" s="557">
        <f t="shared" ref="S13:S76" si="3">Q13*E13</f>
        <v>0</v>
      </c>
    </row>
    <row r="14" spans="1:19" s="496" customFormat="1" ht="12">
      <c r="B14" s="561">
        <v>2</v>
      </c>
      <c r="C14" s="572"/>
      <c r="D14" s="541"/>
      <c r="E14" s="541"/>
      <c r="F14" s="543"/>
      <c r="G14" s="36">
        <f t="shared" si="0"/>
        <v>0</v>
      </c>
      <c r="H14" s="554">
        <f>IF(Consolidado_Geral!$G$133=7.6%,-(0.0165+0.076)*F14,0)</f>
        <v>0</v>
      </c>
      <c r="I14" s="36">
        <f t="shared" si="1"/>
        <v>0</v>
      </c>
      <c r="J14" s="574"/>
      <c r="K14" s="549"/>
      <c r="M14" s="557">
        <f t="shared" ref="M14:M77" si="4">IF(E14&gt;0,(F14+H14)-J14,0)</f>
        <v>0</v>
      </c>
      <c r="N14" s="3"/>
      <c r="O14" s="557">
        <f t="shared" si="2"/>
        <v>0</v>
      </c>
      <c r="Q14" s="543"/>
      <c r="S14" s="557">
        <f t="shared" si="3"/>
        <v>0</v>
      </c>
    </row>
    <row r="15" spans="1:19" s="496" customFormat="1" ht="12">
      <c r="B15" s="561">
        <v>3</v>
      </c>
      <c r="C15" s="572"/>
      <c r="D15" s="541"/>
      <c r="E15" s="541"/>
      <c r="F15" s="543"/>
      <c r="G15" s="36">
        <f t="shared" si="0"/>
        <v>0</v>
      </c>
      <c r="H15" s="554">
        <f>IF(Consolidado_Geral!$G$133=7.6%,-(0.0165+0.076)*F15,0)</f>
        <v>0</v>
      </c>
      <c r="I15" s="36">
        <f t="shared" si="1"/>
        <v>0</v>
      </c>
      <c r="J15" s="574"/>
      <c r="K15" s="549"/>
      <c r="M15" s="557">
        <f t="shared" si="4"/>
        <v>0</v>
      </c>
      <c r="N15" s="3"/>
      <c r="O15" s="557">
        <f t="shared" si="2"/>
        <v>0</v>
      </c>
      <c r="Q15" s="543"/>
      <c r="S15" s="557">
        <f t="shared" si="3"/>
        <v>0</v>
      </c>
    </row>
    <row r="16" spans="1:19" s="496" customFormat="1" ht="12" hidden="1">
      <c r="B16" s="561">
        <v>4</v>
      </c>
      <c r="C16" s="572"/>
      <c r="D16" s="541"/>
      <c r="E16" s="541"/>
      <c r="F16" s="543"/>
      <c r="G16" s="36">
        <f t="shared" si="0"/>
        <v>0</v>
      </c>
      <c r="H16" s="554">
        <f>IF(Consolidado_Geral!$G$133=7.6%,-(0.0165+0.076)*F16,0)</f>
        <v>0</v>
      </c>
      <c r="I16" s="36">
        <f t="shared" si="1"/>
        <v>0</v>
      </c>
      <c r="J16" s="574"/>
      <c r="K16" s="549"/>
      <c r="M16" s="557">
        <f t="shared" si="4"/>
        <v>0</v>
      </c>
      <c r="N16" s="3"/>
      <c r="O16" s="557">
        <f t="shared" si="2"/>
        <v>0</v>
      </c>
      <c r="Q16" s="543"/>
      <c r="S16" s="557">
        <f t="shared" si="3"/>
        <v>0</v>
      </c>
    </row>
    <row r="17" spans="2:19" s="496" customFormat="1" ht="12" hidden="1">
      <c r="B17" s="561">
        <v>5</v>
      </c>
      <c r="C17" s="572"/>
      <c r="D17" s="541"/>
      <c r="E17" s="541"/>
      <c r="F17" s="543"/>
      <c r="G17" s="36">
        <f t="shared" si="0"/>
        <v>0</v>
      </c>
      <c r="H17" s="554">
        <f>IF(Consolidado_Geral!$G$133=7.6%,-(0.0165+0.076)*F17,0)</f>
        <v>0</v>
      </c>
      <c r="I17" s="36">
        <f t="shared" si="1"/>
        <v>0</v>
      </c>
      <c r="J17" s="574"/>
      <c r="K17" s="549"/>
      <c r="M17" s="557">
        <f t="shared" si="4"/>
        <v>0</v>
      </c>
      <c r="N17" s="3"/>
      <c r="O17" s="557">
        <f t="shared" si="2"/>
        <v>0</v>
      </c>
      <c r="Q17" s="543"/>
      <c r="S17" s="557">
        <f t="shared" si="3"/>
        <v>0</v>
      </c>
    </row>
    <row r="18" spans="2:19" s="496" customFormat="1" ht="12" hidden="1">
      <c r="B18" s="561">
        <v>6</v>
      </c>
      <c r="C18" s="572"/>
      <c r="D18" s="541"/>
      <c r="E18" s="541"/>
      <c r="F18" s="543"/>
      <c r="G18" s="36">
        <f t="shared" si="0"/>
        <v>0</v>
      </c>
      <c r="H18" s="554">
        <f>IF(Consolidado_Geral!$G$133=7.6%,-(0.0165+0.076)*F18,0)</f>
        <v>0</v>
      </c>
      <c r="I18" s="36">
        <f t="shared" si="1"/>
        <v>0</v>
      </c>
      <c r="J18" s="574"/>
      <c r="K18" s="549"/>
      <c r="M18" s="557">
        <f t="shared" si="4"/>
        <v>0</v>
      </c>
      <c r="N18" s="3"/>
      <c r="O18" s="557">
        <f t="shared" si="2"/>
        <v>0</v>
      </c>
      <c r="Q18" s="543"/>
      <c r="S18" s="557">
        <f t="shared" si="3"/>
        <v>0</v>
      </c>
    </row>
    <row r="19" spans="2:19" s="496" customFormat="1" ht="12" hidden="1">
      <c r="B19" s="561">
        <v>7</v>
      </c>
      <c r="C19" s="572"/>
      <c r="D19" s="541"/>
      <c r="E19" s="541"/>
      <c r="F19" s="543"/>
      <c r="G19" s="36">
        <f t="shared" si="0"/>
        <v>0</v>
      </c>
      <c r="H19" s="554">
        <f>IF(Consolidado_Geral!$G$133=7.6%,-(0.0165+0.076)*F19,0)</f>
        <v>0</v>
      </c>
      <c r="I19" s="36">
        <f t="shared" si="1"/>
        <v>0</v>
      </c>
      <c r="J19" s="574"/>
      <c r="K19" s="549"/>
      <c r="M19" s="557">
        <f t="shared" si="4"/>
        <v>0</v>
      </c>
      <c r="N19" s="3"/>
      <c r="O19" s="557">
        <f t="shared" si="2"/>
        <v>0</v>
      </c>
      <c r="Q19" s="543"/>
      <c r="S19" s="557">
        <f t="shared" si="3"/>
        <v>0</v>
      </c>
    </row>
    <row r="20" spans="2:19" s="496" customFormat="1" ht="12" hidden="1">
      <c r="B20" s="561">
        <v>8</v>
      </c>
      <c r="C20" s="572"/>
      <c r="D20" s="541"/>
      <c r="E20" s="541"/>
      <c r="F20" s="543"/>
      <c r="G20" s="36">
        <f t="shared" si="0"/>
        <v>0</v>
      </c>
      <c r="H20" s="554">
        <f>IF(Consolidado_Geral!$G$133=7.6%,-(0.0165+0.076)*F20,0)</f>
        <v>0</v>
      </c>
      <c r="I20" s="36">
        <f t="shared" si="1"/>
        <v>0</v>
      </c>
      <c r="J20" s="574"/>
      <c r="K20" s="549"/>
      <c r="M20" s="557">
        <f t="shared" si="4"/>
        <v>0</v>
      </c>
      <c r="N20" s="3"/>
      <c r="O20" s="557">
        <f t="shared" si="2"/>
        <v>0</v>
      </c>
      <c r="Q20" s="543"/>
      <c r="S20" s="557">
        <f t="shared" si="3"/>
        <v>0</v>
      </c>
    </row>
    <row r="21" spans="2:19" s="496" customFormat="1" ht="12" hidden="1">
      <c r="B21" s="561">
        <v>9</v>
      </c>
      <c r="C21" s="572"/>
      <c r="D21" s="541"/>
      <c r="E21" s="541"/>
      <c r="F21" s="543"/>
      <c r="G21" s="36">
        <f t="shared" si="0"/>
        <v>0</v>
      </c>
      <c r="H21" s="554">
        <f>IF(Consolidado_Geral!$G$133=7.6%,-(0.0165+0.076)*F21,0)</f>
        <v>0</v>
      </c>
      <c r="I21" s="36">
        <f t="shared" si="1"/>
        <v>0</v>
      </c>
      <c r="J21" s="574"/>
      <c r="K21" s="549"/>
      <c r="M21" s="557">
        <f t="shared" si="4"/>
        <v>0</v>
      </c>
      <c r="N21" s="3"/>
      <c r="O21" s="557">
        <f t="shared" si="2"/>
        <v>0</v>
      </c>
      <c r="Q21" s="543"/>
      <c r="S21" s="557">
        <f t="shared" si="3"/>
        <v>0</v>
      </c>
    </row>
    <row r="22" spans="2:19" s="496" customFormat="1" ht="12" hidden="1">
      <c r="B22" s="561">
        <v>10</v>
      </c>
      <c r="C22" s="572"/>
      <c r="D22" s="541"/>
      <c r="E22" s="541"/>
      <c r="F22" s="543"/>
      <c r="G22" s="36">
        <f t="shared" si="0"/>
        <v>0</v>
      </c>
      <c r="H22" s="554">
        <f>IF(Consolidado_Geral!$G$133=7.6%,-(0.0165+0.076)*F22,0)</f>
        <v>0</v>
      </c>
      <c r="I22" s="36">
        <f t="shared" si="1"/>
        <v>0</v>
      </c>
      <c r="J22" s="574"/>
      <c r="K22" s="549"/>
      <c r="M22" s="557">
        <f t="shared" si="4"/>
        <v>0</v>
      </c>
      <c r="N22" s="3"/>
      <c r="O22" s="557">
        <f t="shared" si="2"/>
        <v>0</v>
      </c>
      <c r="Q22" s="543"/>
      <c r="S22" s="557">
        <f t="shared" si="3"/>
        <v>0</v>
      </c>
    </row>
    <row r="23" spans="2:19" s="496" customFormat="1" ht="12" hidden="1">
      <c r="B23" s="561">
        <v>11</v>
      </c>
      <c r="C23" s="572"/>
      <c r="D23" s="541"/>
      <c r="E23" s="541"/>
      <c r="F23" s="543"/>
      <c r="G23" s="36">
        <f t="shared" si="0"/>
        <v>0</v>
      </c>
      <c r="H23" s="554">
        <f>IF(Consolidado_Geral!$G$133=7.6%,-(0.0165+0.076)*F23,0)</f>
        <v>0</v>
      </c>
      <c r="I23" s="36">
        <f t="shared" si="1"/>
        <v>0</v>
      </c>
      <c r="J23" s="574"/>
      <c r="K23" s="549"/>
      <c r="M23" s="557">
        <f t="shared" si="4"/>
        <v>0</v>
      </c>
      <c r="N23" s="3"/>
      <c r="O23" s="557">
        <f t="shared" si="2"/>
        <v>0</v>
      </c>
      <c r="Q23" s="543"/>
      <c r="S23" s="557">
        <f t="shared" si="3"/>
        <v>0</v>
      </c>
    </row>
    <row r="24" spans="2:19" s="496" customFormat="1" ht="12" hidden="1">
      <c r="B24" s="561">
        <v>12</v>
      </c>
      <c r="C24" s="572"/>
      <c r="D24" s="541"/>
      <c r="E24" s="541"/>
      <c r="F24" s="543"/>
      <c r="G24" s="36">
        <f t="shared" si="0"/>
        <v>0</v>
      </c>
      <c r="H24" s="554">
        <f>IF(Consolidado_Geral!$G$133=7.6%,-(0.0165+0.076)*F24,0)</f>
        <v>0</v>
      </c>
      <c r="I24" s="36">
        <f t="shared" si="1"/>
        <v>0</v>
      </c>
      <c r="J24" s="574"/>
      <c r="K24" s="549"/>
      <c r="M24" s="557">
        <f t="shared" si="4"/>
        <v>0</v>
      </c>
      <c r="N24" s="3"/>
      <c r="O24" s="557">
        <f t="shared" si="2"/>
        <v>0</v>
      </c>
      <c r="Q24" s="543"/>
      <c r="S24" s="557">
        <f t="shared" si="3"/>
        <v>0</v>
      </c>
    </row>
    <row r="25" spans="2:19" s="496" customFormat="1" ht="12" hidden="1">
      <c r="B25" s="561">
        <v>13</v>
      </c>
      <c r="C25" s="572"/>
      <c r="D25" s="541"/>
      <c r="E25" s="541"/>
      <c r="F25" s="543"/>
      <c r="G25" s="36">
        <f t="shared" si="0"/>
        <v>0</v>
      </c>
      <c r="H25" s="554">
        <f>IF(Consolidado_Geral!$G$133=7.6%,-(0.0165+0.076)*F25,0)</f>
        <v>0</v>
      </c>
      <c r="I25" s="36">
        <f t="shared" si="1"/>
        <v>0</v>
      </c>
      <c r="J25" s="574"/>
      <c r="K25" s="549"/>
      <c r="M25" s="557">
        <f t="shared" si="4"/>
        <v>0</v>
      </c>
      <c r="N25" s="3"/>
      <c r="O25" s="557">
        <f t="shared" si="2"/>
        <v>0</v>
      </c>
      <c r="Q25" s="543"/>
      <c r="S25" s="557">
        <f t="shared" si="3"/>
        <v>0</v>
      </c>
    </row>
    <row r="26" spans="2:19" s="496" customFormat="1" ht="12" hidden="1">
      <c r="B26" s="561">
        <v>14</v>
      </c>
      <c r="C26" s="572"/>
      <c r="D26" s="541"/>
      <c r="E26" s="541"/>
      <c r="F26" s="543"/>
      <c r="G26" s="36">
        <f t="shared" si="0"/>
        <v>0</v>
      </c>
      <c r="H26" s="554">
        <f>IF(Consolidado_Geral!$G$133=7.6%,-(0.0165+0.076)*F26,0)</f>
        <v>0</v>
      </c>
      <c r="I26" s="36">
        <f t="shared" si="1"/>
        <v>0</v>
      </c>
      <c r="J26" s="574"/>
      <c r="K26" s="549"/>
      <c r="M26" s="557">
        <f t="shared" si="4"/>
        <v>0</v>
      </c>
      <c r="N26" s="3"/>
      <c r="O26" s="557">
        <f t="shared" si="2"/>
        <v>0</v>
      </c>
      <c r="Q26" s="543"/>
      <c r="S26" s="557">
        <f t="shared" si="3"/>
        <v>0</v>
      </c>
    </row>
    <row r="27" spans="2:19" s="496" customFormat="1" ht="12" hidden="1">
      <c r="B27" s="561">
        <v>15</v>
      </c>
      <c r="C27" s="572"/>
      <c r="D27" s="541"/>
      <c r="E27" s="541"/>
      <c r="F27" s="543"/>
      <c r="G27" s="36">
        <f t="shared" si="0"/>
        <v>0</v>
      </c>
      <c r="H27" s="554">
        <f>IF(Consolidado_Geral!$G$133=7.6%,-(0.0165+0.076)*F27,0)</f>
        <v>0</v>
      </c>
      <c r="I27" s="36">
        <f t="shared" si="1"/>
        <v>0</v>
      </c>
      <c r="J27" s="574"/>
      <c r="K27" s="549"/>
      <c r="M27" s="557">
        <f t="shared" si="4"/>
        <v>0</v>
      </c>
      <c r="N27" s="3"/>
      <c r="O27" s="557">
        <f t="shared" si="2"/>
        <v>0</v>
      </c>
      <c r="Q27" s="543"/>
      <c r="S27" s="557">
        <f t="shared" si="3"/>
        <v>0</v>
      </c>
    </row>
    <row r="28" spans="2:19" s="496" customFormat="1" ht="12" hidden="1">
      <c r="B28" s="561">
        <v>16</v>
      </c>
      <c r="C28" s="572"/>
      <c r="D28" s="541"/>
      <c r="E28" s="541"/>
      <c r="F28" s="543"/>
      <c r="G28" s="36">
        <f t="shared" si="0"/>
        <v>0</v>
      </c>
      <c r="H28" s="554">
        <f>IF(Consolidado_Geral!$G$133=7.6%,-(0.0165+0.076)*F28,0)</f>
        <v>0</v>
      </c>
      <c r="I28" s="36">
        <f t="shared" si="1"/>
        <v>0</v>
      </c>
      <c r="J28" s="574"/>
      <c r="K28" s="549"/>
      <c r="M28" s="557">
        <f t="shared" si="4"/>
        <v>0</v>
      </c>
      <c r="N28" s="3"/>
      <c r="O28" s="557">
        <f t="shared" si="2"/>
        <v>0</v>
      </c>
      <c r="Q28" s="543"/>
      <c r="S28" s="557">
        <f t="shared" si="3"/>
        <v>0</v>
      </c>
    </row>
    <row r="29" spans="2:19" s="496" customFormat="1" ht="12" hidden="1">
      <c r="B29" s="561">
        <v>17</v>
      </c>
      <c r="C29" s="572"/>
      <c r="D29" s="541"/>
      <c r="E29" s="541"/>
      <c r="F29" s="543"/>
      <c r="G29" s="36">
        <f t="shared" si="0"/>
        <v>0</v>
      </c>
      <c r="H29" s="554">
        <f>IF(Consolidado_Geral!$G$133=7.6%,-(0.0165+0.076)*F29,0)</f>
        <v>0</v>
      </c>
      <c r="I29" s="36">
        <f t="shared" si="1"/>
        <v>0</v>
      </c>
      <c r="J29" s="574"/>
      <c r="K29" s="549"/>
      <c r="M29" s="557">
        <f t="shared" si="4"/>
        <v>0</v>
      </c>
      <c r="N29" s="3"/>
      <c r="O29" s="557">
        <f t="shared" si="2"/>
        <v>0</v>
      </c>
      <c r="Q29" s="543"/>
      <c r="S29" s="557">
        <f t="shared" si="3"/>
        <v>0</v>
      </c>
    </row>
    <row r="30" spans="2:19" s="496" customFormat="1" ht="12" hidden="1">
      <c r="B30" s="561">
        <v>18</v>
      </c>
      <c r="C30" s="572"/>
      <c r="D30" s="541"/>
      <c r="E30" s="541"/>
      <c r="F30" s="543"/>
      <c r="G30" s="36">
        <f t="shared" si="0"/>
        <v>0</v>
      </c>
      <c r="H30" s="554">
        <f>IF(Consolidado_Geral!$G$133=7.6%,-(0.0165+0.076)*F30,0)</f>
        <v>0</v>
      </c>
      <c r="I30" s="36">
        <f t="shared" si="1"/>
        <v>0</v>
      </c>
      <c r="J30" s="574"/>
      <c r="K30" s="549"/>
      <c r="M30" s="557">
        <f t="shared" si="4"/>
        <v>0</v>
      </c>
      <c r="N30" s="3"/>
      <c r="O30" s="557">
        <f t="shared" si="2"/>
        <v>0</v>
      </c>
      <c r="Q30" s="543"/>
      <c r="S30" s="557">
        <f t="shared" si="3"/>
        <v>0</v>
      </c>
    </row>
    <row r="31" spans="2:19" s="496" customFormat="1" ht="12" hidden="1">
      <c r="B31" s="561">
        <v>19</v>
      </c>
      <c r="C31" s="572"/>
      <c r="D31" s="541"/>
      <c r="E31" s="541"/>
      <c r="F31" s="543"/>
      <c r="G31" s="36">
        <f t="shared" si="0"/>
        <v>0</v>
      </c>
      <c r="H31" s="554">
        <f>IF(Consolidado_Geral!$G$133=7.6%,-(0.0165+0.076)*F31,0)</f>
        <v>0</v>
      </c>
      <c r="I31" s="36">
        <f t="shared" si="1"/>
        <v>0</v>
      </c>
      <c r="J31" s="574"/>
      <c r="K31" s="549"/>
      <c r="M31" s="557">
        <f t="shared" si="4"/>
        <v>0</v>
      </c>
      <c r="N31" s="3"/>
      <c r="O31" s="557">
        <f t="shared" si="2"/>
        <v>0</v>
      </c>
      <c r="Q31" s="543"/>
      <c r="S31" s="557">
        <f t="shared" si="3"/>
        <v>0</v>
      </c>
    </row>
    <row r="32" spans="2:19" s="496" customFormat="1" ht="12" hidden="1">
      <c r="B32" s="561">
        <v>20</v>
      </c>
      <c r="C32" s="572"/>
      <c r="D32" s="541"/>
      <c r="E32" s="541"/>
      <c r="F32" s="543"/>
      <c r="G32" s="36">
        <f t="shared" si="0"/>
        <v>0</v>
      </c>
      <c r="H32" s="554">
        <f>IF(Consolidado_Geral!$G$133=7.6%,-(0.0165+0.076)*F32,0)</f>
        <v>0</v>
      </c>
      <c r="I32" s="36">
        <f t="shared" si="1"/>
        <v>0</v>
      </c>
      <c r="J32" s="574"/>
      <c r="K32" s="549"/>
      <c r="M32" s="557">
        <f t="shared" si="4"/>
        <v>0</v>
      </c>
      <c r="N32" s="3"/>
      <c r="O32" s="557">
        <f t="shared" si="2"/>
        <v>0</v>
      </c>
      <c r="Q32" s="543"/>
      <c r="S32" s="557">
        <f t="shared" si="3"/>
        <v>0</v>
      </c>
    </row>
    <row r="33" spans="2:19" s="496" customFormat="1" ht="12" hidden="1">
      <c r="B33" s="561">
        <v>21</v>
      </c>
      <c r="C33" s="572"/>
      <c r="D33" s="541"/>
      <c r="E33" s="541"/>
      <c r="F33" s="543"/>
      <c r="G33" s="36">
        <f t="shared" si="0"/>
        <v>0</v>
      </c>
      <c r="H33" s="554">
        <f>IF(Consolidado_Geral!$G$133=7.6%,-(0.0165+0.076)*F33,0)</f>
        <v>0</v>
      </c>
      <c r="I33" s="36">
        <f t="shared" si="1"/>
        <v>0</v>
      </c>
      <c r="J33" s="574"/>
      <c r="K33" s="549"/>
      <c r="M33" s="557">
        <f t="shared" si="4"/>
        <v>0</v>
      </c>
      <c r="N33" s="3"/>
      <c r="O33" s="557">
        <f t="shared" si="2"/>
        <v>0</v>
      </c>
      <c r="Q33" s="543"/>
      <c r="S33" s="557">
        <f t="shared" si="3"/>
        <v>0</v>
      </c>
    </row>
    <row r="34" spans="2:19" s="496" customFormat="1" ht="12" hidden="1">
      <c r="B34" s="561">
        <v>22</v>
      </c>
      <c r="C34" s="572"/>
      <c r="D34" s="541"/>
      <c r="E34" s="541"/>
      <c r="F34" s="543"/>
      <c r="G34" s="36">
        <f t="shared" si="0"/>
        <v>0</v>
      </c>
      <c r="H34" s="554">
        <f>IF(Consolidado_Geral!$G$133=7.6%,-(0.0165+0.076)*F34,0)</f>
        <v>0</v>
      </c>
      <c r="I34" s="36">
        <f t="shared" si="1"/>
        <v>0</v>
      </c>
      <c r="J34" s="574"/>
      <c r="K34" s="549"/>
      <c r="M34" s="557">
        <f t="shared" si="4"/>
        <v>0</v>
      </c>
      <c r="N34" s="3"/>
      <c r="O34" s="557">
        <f t="shared" si="2"/>
        <v>0</v>
      </c>
      <c r="Q34" s="543"/>
      <c r="S34" s="557">
        <f t="shared" si="3"/>
        <v>0</v>
      </c>
    </row>
    <row r="35" spans="2:19" s="496" customFormat="1" ht="12" hidden="1">
      <c r="B35" s="561">
        <v>23</v>
      </c>
      <c r="C35" s="572"/>
      <c r="D35" s="541"/>
      <c r="E35" s="541"/>
      <c r="F35" s="543"/>
      <c r="G35" s="36">
        <f t="shared" si="0"/>
        <v>0</v>
      </c>
      <c r="H35" s="554">
        <f>IF(Consolidado_Geral!$G$133=7.6%,-(0.0165+0.076)*F35,0)</f>
        <v>0</v>
      </c>
      <c r="I35" s="36">
        <f t="shared" si="1"/>
        <v>0</v>
      </c>
      <c r="J35" s="574"/>
      <c r="K35" s="549"/>
      <c r="M35" s="557">
        <f t="shared" si="4"/>
        <v>0</v>
      </c>
      <c r="N35" s="3"/>
      <c r="O35" s="557">
        <f t="shared" si="2"/>
        <v>0</v>
      </c>
      <c r="Q35" s="543"/>
      <c r="S35" s="557">
        <f t="shared" si="3"/>
        <v>0</v>
      </c>
    </row>
    <row r="36" spans="2:19" s="496" customFormat="1" ht="12" hidden="1">
      <c r="B36" s="561">
        <v>24</v>
      </c>
      <c r="C36" s="572"/>
      <c r="D36" s="541"/>
      <c r="E36" s="541"/>
      <c r="F36" s="543"/>
      <c r="G36" s="36">
        <f t="shared" si="0"/>
        <v>0</v>
      </c>
      <c r="H36" s="554">
        <f>IF(Consolidado_Geral!$G$133=7.6%,-(0.0165+0.076)*F36,0)</f>
        <v>0</v>
      </c>
      <c r="I36" s="36">
        <f t="shared" si="1"/>
        <v>0</v>
      </c>
      <c r="J36" s="574"/>
      <c r="K36" s="549"/>
      <c r="M36" s="557">
        <f t="shared" si="4"/>
        <v>0</v>
      </c>
      <c r="N36" s="3"/>
      <c r="O36" s="557">
        <f t="shared" si="2"/>
        <v>0</v>
      </c>
      <c r="Q36" s="543"/>
      <c r="S36" s="557">
        <f t="shared" si="3"/>
        <v>0</v>
      </c>
    </row>
    <row r="37" spans="2:19" s="496" customFormat="1" ht="12" hidden="1">
      <c r="B37" s="561">
        <v>25</v>
      </c>
      <c r="C37" s="572"/>
      <c r="D37" s="541"/>
      <c r="E37" s="541"/>
      <c r="F37" s="543"/>
      <c r="G37" s="36">
        <f t="shared" si="0"/>
        <v>0</v>
      </c>
      <c r="H37" s="554">
        <f>IF(Consolidado_Geral!$G$133=7.6%,-(0.0165+0.076)*F37,0)</f>
        <v>0</v>
      </c>
      <c r="I37" s="36">
        <f t="shared" si="1"/>
        <v>0</v>
      </c>
      <c r="J37" s="574"/>
      <c r="K37" s="549"/>
      <c r="M37" s="557">
        <f t="shared" si="4"/>
        <v>0</v>
      </c>
      <c r="N37" s="3"/>
      <c r="O37" s="557">
        <f t="shared" si="2"/>
        <v>0</v>
      </c>
      <c r="Q37" s="543"/>
      <c r="S37" s="557">
        <f t="shared" si="3"/>
        <v>0</v>
      </c>
    </row>
    <row r="38" spans="2:19" s="496" customFormat="1" ht="12" hidden="1">
      <c r="B38" s="561">
        <v>26</v>
      </c>
      <c r="C38" s="572"/>
      <c r="D38" s="541"/>
      <c r="E38" s="541"/>
      <c r="F38" s="543"/>
      <c r="G38" s="36">
        <f t="shared" si="0"/>
        <v>0</v>
      </c>
      <c r="H38" s="554">
        <f>IF(Consolidado_Geral!$G$133=7.6%,-(0.0165+0.076)*F38,0)</f>
        <v>0</v>
      </c>
      <c r="I38" s="36">
        <f t="shared" si="1"/>
        <v>0</v>
      </c>
      <c r="J38" s="574"/>
      <c r="K38" s="549"/>
      <c r="M38" s="557">
        <f t="shared" si="4"/>
        <v>0</v>
      </c>
      <c r="N38" s="3"/>
      <c r="O38" s="557">
        <f t="shared" si="2"/>
        <v>0</v>
      </c>
      <c r="Q38" s="543"/>
      <c r="S38" s="557">
        <f t="shared" si="3"/>
        <v>0</v>
      </c>
    </row>
    <row r="39" spans="2:19" s="496" customFormat="1" ht="12" hidden="1">
      <c r="B39" s="561">
        <v>27</v>
      </c>
      <c r="C39" s="572"/>
      <c r="D39" s="541"/>
      <c r="E39" s="541"/>
      <c r="F39" s="543"/>
      <c r="G39" s="36">
        <f t="shared" si="0"/>
        <v>0</v>
      </c>
      <c r="H39" s="554">
        <f>IF(Consolidado_Geral!$G$133=7.6%,-(0.0165+0.076)*F39,0)</f>
        <v>0</v>
      </c>
      <c r="I39" s="36">
        <f t="shared" si="1"/>
        <v>0</v>
      </c>
      <c r="J39" s="574"/>
      <c r="K39" s="549"/>
      <c r="M39" s="557">
        <f t="shared" si="4"/>
        <v>0</v>
      </c>
      <c r="N39" s="3"/>
      <c r="O39" s="557">
        <f t="shared" si="2"/>
        <v>0</v>
      </c>
      <c r="Q39" s="543"/>
      <c r="S39" s="557">
        <f t="shared" si="3"/>
        <v>0</v>
      </c>
    </row>
    <row r="40" spans="2:19" s="496" customFormat="1" ht="12" hidden="1">
      <c r="B40" s="561">
        <v>28</v>
      </c>
      <c r="C40" s="572"/>
      <c r="D40" s="541"/>
      <c r="E40" s="541"/>
      <c r="F40" s="543"/>
      <c r="G40" s="36">
        <f t="shared" si="0"/>
        <v>0</v>
      </c>
      <c r="H40" s="554">
        <f>IF(Consolidado_Geral!$G$133=7.6%,-(0.0165+0.076)*F40,0)</f>
        <v>0</v>
      </c>
      <c r="I40" s="36">
        <f t="shared" si="1"/>
        <v>0</v>
      </c>
      <c r="J40" s="574"/>
      <c r="K40" s="549"/>
      <c r="M40" s="557">
        <f t="shared" si="4"/>
        <v>0</v>
      </c>
      <c r="N40" s="3"/>
      <c r="O40" s="557">
        <f t="shared" si="2"/>
        <v>0</v>
      </c>
      <c r="Q40" s="543"/>
      <c r="S40" s="557">
        <f t="shared" si="3"/>
        <v>0</v>
      </c>
    </row>
    <row r="41" spans="2:19" s="496" customFormat="1" ht="12" hidden="1">
      <c r="B41" s="561">
        <v>29</v>
      </c>
      <c r="C41" s="572"/>
      <c r="D41" s="541"/>
      <c r="E41" s="541"/>
      <c r="F41" s="543"/>
      <c r="G41" s="36">
        <f t="shared" si="0"/>
        <v>0</v>
      </c>
      <c r="H41" s="554">
        <f>IF(Consolidado_Geral!$G$133=7.6%,-(0.0165+0.076)*F41,0)</f>
        <v>0</v>
      </c>
      <c r="I41" s="36">
        <f t="shared" si="1"/>
        <v>0</v>
      </c>
      <c r="J41" s="574"/>
      <c r="K41" s="549"/>
      <c r="M41" s="557">
        <f t="shared" si="4"/>
        <v>0</v>
      </c>
      <c r="N41" s="3"/>
      <c r="O41" s="557">
        <f t="shared" si="2"/>
        <v>0</v>
      </c>
      <c r="Q41" s="543"/>
      <c r="S41" s="557">
        <f t="shared" si="3"/>
        <v>0</v>
      </c>
    </row>
    <row r="42" spans="2:19" s="496" customFormat="1" ht="12" hidden="1">
      <c r="B42" s="561">
        <v>30</v>
      </c>
      <c r="C42" s="572"/>
      <c r="D42" s="541"/>
      <c r="E42" s="541"/>
      <c r="F42" s="543"/>
      <c r="G42" s="36">
        <f t="shared" si="0"/>
        <v>0</v>
      </c>
      <c r="H42" s="554">
        <f>IF(Consolidado_Geral!$G$133=7.6%,-(0.0165+0.076)*F42,0)</f>
        <v>0</v>
      </c>
      <c r="I42" s="36">
        <f t="shared" si="1"/>
        <v>0</v>
      </c>
      <c r="J42" s="574"/>
      <c r="K42" s="549"/>
      <c r="M42" s="557">
        <f t="shared" si="4"/>
        <v>0</v>
      </c>
      <c r="N42" s="3"/>
      <c r="O42" s="557">
        <f t="shared" si="2"/>
        <v>0</v>
      </c>
      <c r="Q42" s="543"/>
      <c r="S42" s="557">
        <f t="shared" si="3"/>
        <v>0</v>
      </c>
    </row>
    <row r="43" spans="2:19" s="496" customFormat="1" ht="12" hidden="1">
      <c r="B43" s="561">
        <v>31</v>
      </c>
      <c r="C43" s="572"/>
      <c r="D43" s="541"/>
      <c r="E43" s="541"/>
      <c r="F43" s="543"/>
      <c r="G43" s="36">
        <f t="shared" si="0"/>
        <v>0</v>
      </c>
      <c r="H43" s="554">
        <f>IF(Consolidado_Geral!$G$133=7.6%,-(0.0165+0.076)*F43,0)</f>
        <v>0</v>
      </c>
      <c r="I43" s="36">
        <f t="shared" si="1"/>
        <v>0</v>
      </c>
      <c r="J43" s="574"/>
      <c r="K43" s="549"/>
      <c r="M43" s="557">
        <f t="shared" si="4"/>
        <v>0</v>
      </c>
      <c r="N43" s="3"/>
      <c r="O43" s="557">
        <f t="shared" si="2"/>
        <v>0</v>
      </c>
      <c r="Q43" s="543"/>
      <c r="S43" s="557">
        <f t="shared" si="3"/>
        <v>0</v>
      </c>
    </row>
    <row r="44" spans="2:19" s="496" customFormat="1" ht="12" hidden="1">
      <c r="B44" s="561">
        <v>32</v>
      </c>
      <c r="C44" s="572"/>
      <c r="D44" s="541"/>
      <c r="E44" s="541"/>
      <c r="F44" s="543"/>
      <c r="G44" s="36">
        <f t="shared" si="0"/>
        <v>0</v>
      </c>
      <c r="H44" s="554">
        <f>IF(Consolidado_Geral!$G$133=7.6%,-(0.0165+0.076)*F44,0)</f>
        <v>0</v>
      </c>
      <c r="I44" s="36">
        <f t="shared" si="1"/>
        <v>0</v>
      </c>
      <c r="J44" s="574"/>
      <c r="K44" s="549"/>
      <c r="M44" s="557">
        <f t="shared" si="4"/>
        <v>0</v>
      </c>
      <c r="N44" s="3"/>
      <c r="O44" s="557">
        <f t="shared" si="2"/>
        <v>0</v>
      </c>
      <c r="Q44" s="543"/>
      <c r="S44" s="557">
        <f t="shared" si="3"/>
        <v>0</v>
      </c>
    </row>
    <row r="45" spans="2:19" s="496" customFormat="1" ht="12" hidden="1">
      <c r="B45" s="561">
        <v>33</v>
      </c>
      <c r="C45" s="572"/>
      <c r="D45" s="541"/>
      <c r="E45" s="541"/>
      <c r="F45" s="543"/>
      <c r="G45" s="36">
        <f t="shared" si="0"/>
        <v>0</v>
      </c>
      <c r="H45" s="554">
        <f>IF(Consolidado_Geral!$G$133=7.6%,-(0.0165+0.076)*F45,0)</f>
        <v>0</v>
      </c>
      <c r="I45" s="36">
        <f t="shared" si="1"/>
        <v>0</v>
      </c>
      <c r="J45" s="574"/>
      <c r="K45" s="549"/>
      <c r="M45" s="557">
        <f t="shared" si="4"/>
        <v>0</v>
      </c>
      <c r="N45" s="3"/>
      <c r="O45" s="557">
        <f t="shared" si="2"/>
        <v>0</v>
      </c>
      <c r="Q45" s="543"/>
      <c r="S45" s="557">
        <f t="shared" si="3"/>
        <v>0</v>
      </c>
    </row>
    <row r="46" spans="2:19" s="496" customFormat="1" ht="12" hidden="1">
      <c r="B46" s="561">
        <v>34</v>
      </c>
      <c r="C46" s="572"/>
      <c r="D46" s="541"/>
      <c r="E46" s="541"/>
      <c r="F46" s="543"/>
      <c r="G46" s="36">
        <f t="shared" si="0"/>
        <v>0</v>
      </c>
      <c r="H46" s="554">
        <f>IF(Consolidado_Geral!$G$133=7.6%,-(0.0165+0.076)*F46,0)</f>
        <v>0</v>
      </c>
      <c r="I46" s="36">
        <f t="shared" si="1"/>
        <v>0</v>
      </c>
      <c r="J46" s="574"/>
      <c r="K46" s="549"/>
      <c r="M46" s="557">
        <f t="shared" si="4"/>
        <v>0</v>
      </c>
      <c r="N46" s="3"/>
      <c r="O46" s="557">
        <f t="shared" si="2"/>
        <v>0</v>
      </c>
      <c r="Q46" s="543"/>
      <c r="S46" s="557">
        <f t="shared" si="3"/>
        <v>0</v>
      </c>
    </row>
    <row r="47" spans="2:19" s="496" customFormat="1" ht="12" hidden="1">
      <c r="B47" s="561">
        <v>35</v>
      </c>
      <c r="C47" s="572"/>
      <c r="D47" s="541"/>
      <c r="E47" s="541"/>
      <c r="F47" s="543"/>
      <c r="G47" s="36">
        <f t="shared" si="0"/>
        <v>0</v>
      </c>
      <c r="H47" s="554">
        <f>IF(Consolidado_Geral!$G$133=7.6%,-(0.0165+0.076)*F47,0)</f>
        <v>0</v>
      </c>
      <c r="I47" s="36">
        <f t="shared" si="1"/>
        <v>0</v>
      </c>
      <c r="J47" s="574"/>
      <c r="K47" s="549"/>
      <c r="M47" s="557">
        <f t="shared" si="4"/>
        <v>0</v>
      </c>
      <c r="N47" s="3"/>
      <c r="O47" s="557">
        <f t="shared" si="2"/>
        <v>0</v>
      </c>
      <c r="Q47" s="543"/>
      <c r="S47" s="557">
        <f t="shared" si="3"/>
        <v>0</v>
      </c>
    </row>
    <row r="48" spans="2:19" s="496" customFormat="1" ht="12" hidden="1">
      <c r="B48" s="561">
        <v>36</v>
      </c>
      <c r="C48" s="572"/>
      <c r="D48" s="541"/>
      <c r="E48" s="541"/>
      <c r="F48" s="543"/>
      <c r="G48" s="36">
        <f t="shared" si="0"/>
        <v>0</v>
      </c>
      <c r="H48" s="554">
        <f>IF(Consolidado_Geral!$G$133=7.6%,-(0.0165+0.076)*F48,0)</f>
        <v>0</v>
      </c>
      <c r="I48" s="36">
        <f t="shared" si="1"/>
        <v>0</v>
      </c>
      <c r="J48" s="574"/>
      <c r="K48" s="549"/>
      <c r="M48" s="557">
        <f t="shared" si="4"/>
        <v>0</v>
      </c>
      <c r="N48" s="3"/>
      <c r="O48" s="557">
        <f t="shared" si="2"/>
        <v>0</v>
      </c>
      <c r="Q48" s="543"/>
      <c r="S48" s="557">
        <f t="shared" si="3"/>
        <v>0</v>
      </c>
    </row>
    <row r="49" spans="2:19" s="496" customFormat="1" ht="12" hidden="1">
      <c r="B49" s="561">
        <v>37</v>
      </c>
      <c r="C49" s="572"/>
      <c r="D49" s="541"/>
      <c r="E49" s="541"/>
      <c r="F49" s="543"/>
      <c r="G49" s="36">
        <f t="shared" si="0"/>
        <v>0</v>
      </c>
      <c r="H49" s="554">
        <f>IF(Consolidado_Geral!$G$133=7.6%,-(0.0165+0.076)*F49,0)</f>
        <v>0</v>
      </c>
      <c r="I49" s="36">
        <f t="shared" si="1"/>
        <v>0</v>
      </c>
      <c r="J49" s="574"/>
      <c r="K49" s="549"/>
      <c r="M49" s="557">
        <f t="shared" si="4"/>
        <v>0</v>
      </c>
      <c r="N49" s="3"/>
      <c r="O49" s="557">
        <f t="shared" si="2"/>
        <v>0</v>
      </c>
      <c r="Q49" s="543"/>
      <c r="S49" s="557">
        <f t="shared" si="3"/>
        <v>0</v>
      </c>
    </row>
    <row r="50" spans="2:19" s="496" customFormat="1" ht="12" hidden="1">
      <c r="B50" s="561">
        <v>38</v>
      </c>
      <c r="C50" s="572"/>
      <c r="D50" s="541"/>
      <c r="E50" s="541"/>
      <c r="F50" s="543"/>
      <c r="G50" s="36">
        <f t="shared" si="0"/>
        <v>0</v>
      </c>
      <c r="H50" s="554">
        <f>IF(Consolidado_Geral!$G$133=7.6%,-(0.0165+0.076)*F50,0)</f>
        <v>0</v>
      </c>
      <c r="I50" s="36">
        <f t="shared" si="1"/>
        <v>0</v>
      </c>
      <c r="J50" s="574"/>
      <c r="K50" s="549"/>
      <c r="M50" s="557">
        <f t="shared" si="4"/>
        <v>0</v>
      </c>
      <c r="N50" s="3"/>
      <c r="O50" s="557">
        <f t="shared" si="2"/>
        <v>0</v>
      </c>
      <c r="Q50" s="543"/>
      <c r="S50" s="557">
        <f t="shared" si="3"/>
        <v>0</v>
      </c>
    </row>
    <row r="51" spans="2:19" s="496" customFormat="1" ht="12" hidden="1">
      <c r="B51" s="561">
        <v>39</v>
      </c>
      <c r="C51" s="572"/>
      <c r="D51" s="541"/>
      <c r="E51" s="541"/>
      <c r="F51" s="543"/>
      <c r="G51" s="36">
        <f t="shared" si="0"/>
        <v>0</v>
      </c>
      <c r="H51" s="554">
        <f>IF(Consolidado_Geral!$G$133=7.6%,-(0.0165+0.076)*F51,0)</f>
        <v>0</v>
      </c>
      <c r="I51" s="36">
        <f t="shared" si="1"/>
        <v>0</v>
      </c>
      <c r="J51" s="574"/>
      <c r="K51" s="549"/>
      <c r="M51" s="557">
        <f t="shared" si="4"/>
        <v>0</v>
      </c>
      <c r="N51" s="3"/>
      <c r="O51" s="557">
        <f t="shared" si="2"/>
        <v>0</v>
      </c>
      <c r="Q51" s="543"/>
      <c r="S51" s="557">
        <f t="shared" si="3"/>
        <v>0</v>
      </c>
    </row>
    <row r="52" spans="2:19" s="496" customFormat="1" ht="12" hidden="1">
      <c r="B52" s="561">
        <v>40</v>
      </c>
      <c r="C52" s="572"/>
      <c r="D52" s="541"/>
      <c r="E52" s="541"/>
      <c r="F52" s="543"/>
      <c r="G52" s="36">
        <f t="shared" si="0"/>
        <v>0</v>
      </c>
      <c r="H52" s="554">
        <f>IF(Consolidado_Geral!$G$133=7.6%,-(0.0165+0.076)*F52,0)</f>
        <v>0</v>
      </c>
      <c r="I52" s="36">
        <f t="shared" si="1"/>
        <v>0</v>
      </c>
      <c r="J52" s="574"/>
      <c r="K52" s="549"/>
      <c r="M52" s="557">
        <f t="shared" si="4"/>
        <v>0</v>
      </c>
      <c r="N52" s="3"/>
      <c r="O52" s="557">
        <f t="shared" si="2"/>
        <v>0</v>
      </c>
      <c r="Q52" s="543"/>
      <c r="S52" s="557">
        <f t="shared" si="3"/>
        <v>0</v>
      </c>
    </row>
    <row r="53" spans="2:19" s="496" customFormat="1" ht="12" hidden="1">
      <c r="B53" s="561">
        <v>41</v>
      </c>
      <c r="C53" s="572"/>
      <c r="D53" s="541"/>
      <c r="E53" s="541"/>
      <c r="F53" s="543"/>
      <c r="G53" s="36">
        <f t="shared" si="0"/>
        <v>0</v>
      </c>
      <c r="H53" s="554">
        <f>IF(Consolidado_Geral!$G$133=7.6%,-(0.0165+0.076)*F53,0)</f>
        <v>0</v>
      </c>
      <c r="I53" s="36">
        <f t="shared" si="1"/>
        <v>0</v>
      </c>
      <c r="J53" s="574"/>
      <c r="K53" s="549"/>
      <c r="M53" s="557">
        <f t="shared" si="4"/>
        <v>0</v>
      </c>
      <c r="N53" s="3"/>
      <c r="O53" s="557">
        <f t="shared" si="2"/>
        <v>0</v>
      </c>
      <c r="Q53" s="543"/>
      <c r="S53" s="557">
        <f t="shared" si="3"/>
        <v>0</v>
      </c>
    </row>
    <row r="54" spans="2:19" s="496" customFormat="1" ht="12" hidden="1">
      <c r="B54" s="561">
        <v>42</v>
      </c>
      <c r="C54" s="572"/>
      <c r="D54" s="541"/>
      <c r="E54" s="541"/>
      <c r="F54" s="543"/>
      <c r="G54" s="36">
        <f t="shared" si="0"/>
        <v>0</v>
      </c>
      <c r="H54" s="554">
        <f>IF(Consolidado_Geral!$G$133=7.6%,-(0.0165+0.076)*F54,0)</f>
        <v>0</v>
      </c>
      <c r="I54" s="36">
        <f t="shared" si="1"/>
        <v>0</v>
      </c>
      <c r="J54" s="574"/>
      <c r="K54" s="549"/>
      <c r="M54" s="557">
        <f t="shared" si="4"/>
        <v>0</v>
      </c>
      <c r="N54" s="3"/>
      <c r="O54" s="557">
        <f t="shared" si="2"/>
        <v>0</v>
      </c>
      <c r="Q54" s="543"/>
      <c r="S54" s="557">
        <f t="shared" si="3"/>
        <v>0</v>
      </c>
    </row>
    <row r="55" spans="2:19" s="496" customFormat="1" ht="12" hidden="1">
      <c r="B55" s="561">
        <v>43</v>
      </c>
      <c r="C55" s="572"/>
      <c r="D55" s="541"/>
      <c r="E55" s="541"/>
      <c r="F55" s="543"/>
      <c r="G55" s="36">
        <f t="shared" si="0"/>
        <v>0</v>
      </c>
      <c r="H55" s="554">
        <f>IF(Consolidado_Geral!$G$133=7.6%,-(0.0165+0.076)*F55,0)</f>
        <v>0</v>
      </c>
      <c r="I55" s="36">
        <f t="shared" si="1"/>
        <v>0</v>
      </c>
      <c r="J55" s="574"/>
      <c r="K55" s="549"/>
      <c r="M55" s="557">
        <f t="shared" si="4"/>
        <v>0</v>
      </c>
      <c r="N55" s="3"/>
      <c r="O55" s="557">
        <f t="shared" si="2"/>
        <v>0</v>
      </c>
      <c r="Q55" s="543"/>
      <c r="S55" s="557">
        <f t="shared" si="3"/>
        <v>0</v>
      </c>
    </row>
    <row r="56" spans="2:19" s="496" customFormat="1" ht="12" hidden="1">
      <c r="B56" s="561">
        <v>44</v>
      </c>
      <c r="C56" s="572"/>
      <c r="D56" s="541"/>
      <c r="E56" s="541"/>
      <c r="F56" s="543"/>
      <c r="G56" s="36">
        <f t="shared" si="0"/>
        <v>0</v>
      </c>
      <c r="H56" s="554">
        <f>IF(Consolidado_Geral!$G$133=7.6%,-(0.0165+0.076)*F56,0)</f>
        <v>0</v>
      </c>
      <c r="I56" s="36">
        <f t="shared" si="1"/>
        <v>0</v>
      </c>
      <c r="J56" s="574"/>
      <c r="K56" s="549"/>
      <c r="M56" s="557">
        <f t="shared" si="4"/>
        <v>0</v>
      </c>
      <c r="N56" s="3"/>
      <c r="O56" s="557">
        <f t="shared" si="2"/>
        <v>0</v>
      </c>
      <c r="Q56" s="543"/>
      <c r="S56" s="557">
        <f t="shared" si="3"/>
        <v>0</v>
      </c>
    </row>
    <row r="57" spans="2:19" s="496" customFormat="1" ht="12" hidden="1">
      <c r="B57" s="561">
        <v>45</v>
      </c>
      <c r="C57" s="572"/>
      <c r="D57" s="541"/>
      <c r="E57" s="541"/>
      <c r="F57" s="543"/>
      <c r="G57" s="36">
        <f t="shared" si="0"/>
        <v>0</v>
      </c>
      <c r="H57" s="554">
        <f>IF(Consolidado_Geral!$G$133=7.6%,-(0.0165+0.076)*F57,0)</f>
        <v>0</v>
      </c>
      <c r="I57" s="36">
        <f t="shared" si="1"/>
        <v>0</v>
      </c>
      <c r="J57" s="574"/>
      <c r="K57" s="549"/>
      <c r="M57" s="557">
        <f t="shared" si="4"/>
        <v>0</v>
      </c>
      <c r="N57" s="3"/>
      <c r="O57" s="557">
        <f t="shared" si="2"/>
        <v>0</v>
      </c>
      <c r="Q57" s="543"/>
      <c r="S57" s="557">
        <f t="shared" si="3"/>
        <v>0</v>
      </c>
    </row>
    <row r="58" spans="2:19" s="496" customFormat="1" ht="12" hidden="1">
      <c r="B58" s="561">
        <v>46</v>
      </c>
      <c r="C58" s="572"/>
      <c r="D58" s="541"/>
      <c r="E58" s="541"/>
      <c r="F58" s="543"/>
      <c r="G58" s="36">
        <f t="shared" si="0"/>
        <v>0</v>
      </c>
      <c r="H58" s="554">
        <f>IF(Consolidado_Geral!$G$133=7.6%,-(0.0165+0.076)*F58,0)</f>
        <v>0</v>
      </c>
      <c r="I58" s="36">
        <f t="shared" si="1"/>
        <v>0</v>
      </c>
      <c r="J58" s="574"/>
      <c r="K58" s="549"/>
      <c r="M58" s="557">
        <f t="shared" si="4"/>
        <v>0</v>
      </c>
      <c r="N58" s="3"/>
      <c r="O58" s="557">
        <f t="shared" si="2"/>
        <v>0</v>
      </c>
      <c r="Q58" s="543"/>
      <c r="S58" s="557">
        <f t="shared" si="3"/>
        <v>0</v>
      </c>
    </row>
    <row r="59" spans="2:19" s="496" customFormat="1" ht="12" hidden="1">
      <c r="B59" s="561">
        <v>47</v>
      </c>
      <c r="C59" s="572"/>
      <c r="D59" s="541"/>
      <c r="E59" s="541"/>
      <c r="F59" s="543"/>
      <c r="G59" s="36">
        <f t="shared" si="0"/>
        <v>0</v>
      </c>
      <c r="H59" s="554">
        <f>IF(Consolidado_Geral!$G$133=7.6%,-(0.0165+0.076)*F59,0)</f>
        <v>0</v>
      </c>
      <c r="I59" s="36">
        <f t="shared" si="1"/>
        <v>0</v>
      </c>
      <c r="J59" s="574"/>
      <c r="K59" s="549"/>
      <c r="M59" s="557">
        <f t="shared" si="4"/>
        <v>0</v>
      </c>
      <c r="N59" s="3"/>
      <c r="O59" s="557">
        <f t="shared" si="2"/>
        <v>0</v>
      </c>
      <c r="Q59" s="543"/>
      <c r="S59" s="557">
        <f t="shared" si="3"/>
        <v>0</v>
      </c>
    </row>
    <row r="60" spans="2:19" s="496" customFormat="1" ht="12" hidden="1">
      <c r="B60" s="561">
        <v>48</v>
      </c>
      <c r="C60" s="572"/>
      <c r="D60" s="541"/>
      <c r="E60" s="541"/>
      <c r="F60" s="543"/>
      <c r="G60" s="36">
        <f t="shared" si="0"/>
        <v>0</v>
      </c>
      <c r="H60" s="554">
        <f>IF(Consolidado_Geral!$G$133=7.6%,-(0.0165+0.076)*F60,0)</f>
        <v>0</v>
      </c>
      <c r="I60" s="36">
        <f t="shared" si="1"/>
        <v>0</v>
      </c>
      <c r="J60" s="574"/>
      <c r="K60" s="549"/>
      <c r="M60" s="557">
        <f t="shared" si="4"/>
        <v>0</v>
      </c>
      <c r="N60" s="3"/>
      <c r="O60" s="557">
        <f t="shared" si="2"/>
        <v>0</v>
      </c>
      <c r="Q60" s="543"/>
      <c r="S60" s="557">
        <f t="shared" si="3"/>
        <v>0</v>
      </c>
    </row>
    <row r="61" spans="2:19" s="496" customFormat="1" ht="12" hidden="1">
      <c r="B61" s="561">
        <v>49</v>
      </c>
      <c r="C61" s="572"/>
      <c r="D61" s="541"/>
      <c r="E61" s="541"/>
      <c r="F61" s="543"/>
      <c r="G61" s="36">
        <f t="shared" si="0"/>
        <v>0</v>
      </c>
      <c r="H61" s="554">
        <f>IF(Consolidado_Geral!$G$133=7.6%,-(0.0165+0.076)*F61,0)</f>
        <v>0</v>
      </c>
      <c r="I61" s="36">
        <f t="shared" si="1"/>
        <v>0</v>
      </c>
      <c r="J61" s="574"/>
      <c r="K61" s="549"/>
      <c r="M61" s="557">
        <f t="shared" si="4"/>
        <v>0</v>
      </c>
      <c r="N61" s="3"/>
      <c r="O61" s="557">
        <f t="shared" si="2"/>
        <v>0</v>
      </c>
      <c r="Q61" s="543"/>
      <c r="S61" s="557">
        <f t="shared" si="3"/>
        <v>0</v>
      </c>
    </row>
    <row r="62" spans="2:19" s="496" customFormat="1" ht="12" hidden="1">
      <c r="B62" s="561">
        <v>50</v>
      </c>
      <c r="C62" s="572"/>
      <c r="D62" s="541"/>
      <c r="E62" s="541"/>
      <c r="F62" s="543"/>
      <c r="G62" s="36">
        <f t="shared" si="0"/>
        <v>0</v>
      </c>
      <c r="H62" s="554">
        <f>IF(Consolidado_Geral!$G$133=7.6%,-(0.0165+0.076)*F62,0)</f>
        <v>0</v>
      </c>
      <c r="I62" s="36">
        <f t="shared" si="1"/>
        <v>0</v>
      </c>
      <c r="J62" s="574"/>
      <c r="K62" s="549"/>
      <c r="M62" s="557">
        <f t="shared" si="4"/>
        <v>0</v>
      </c>
      <c r="N62" s="3"/>
      <c r="O62" s="557">
        <f t="shared" si="2"/>
        <v>0</v>
      </c>
      <c r="Q62" s="543"/>
      <c r="S62" s="557">
        <f t="shared" si="3"/>
        <v>0</v>
      </c>
    </row>
    <row r="63" spans="2:19" s="496" customFormat="1" ht="12" hidden="1">
      <c r="B63" s="561">
        <v>51</v>
      </c>
      <c r="C63" s="572"/>
      <c r="D63" s="541"/>
      <c r="E63" s="541"/>
      <c r="F63" s="543"/>
      <c r="G63" s="36">
        <f t="shared" si="0"/>
        <v>0</v>
      </c>
      <c r="H63" s="554">
        <f>IF(Consolidado_Geral!$G$133=7.6%,-(0.0165+0.076)*F63,0)</f>
        <v>0</v>
      </c>
      <c r="I63" s="36">
        <f t="shared" si="1"/>
        <v>0</v>
      </c>
      <c r="J63" s="574"/>
      <c r="K63" s="549"/>
      <c r="M63" s="557">
        <f t="shared" si="4"/>
        <v>0</v>
      </c>
      <c r="N63" s="3"/>
      <c r="O63" s="557">
        <f t="shared" si="2"/>
        <v>0</v>
      </c>
      <c r="Q63" s="543"/>
      <c r="S63" s="557">
        <f t="shared" si="3"/>
        <v>0</v>
      </c>
    </row>
    <row r="64" spans="2:19" s="496" customFormat="1" ht="12" hidden="1">
      <c r="B64" s="561">
        <v>52</v>
      </c>
      <c r="C64" s="572"/>
      <c r="D64" s="541"/>
      <c r="E64" s="541"/>
      <c r="F64" s="543"/>
      <c r="G64" s="36">
        <f t="shared" si="0"/>
        <v>0</v>
      </c>
      <c r="H64" s="554">
        <f>IF(Consolidado_Geral!$G$133=7.6%,-(0.0165+0.076)*F64,0)</f>
        <v>0</v>
      </c>
      <c r="I64" s="36">
        <f t="shared" si="1"/>
        <v>0</v>
      </c>
      <c r="J64" s="574"/>
      <c r="K64" s="549"/>
      <c r="M64" s="557">
        <f t="shared" si="4"/>
        <v>0</v>
      </c>
      <c r="N64" s="3"/>
      <c r="O64" s="557">
        <f t="shared" si="2"/>
        <v>0</v>
      </c>
      <c r="Q64" s="543"/>
      <c r="S64" s="557">
        <f t="shared" si="3"/>
        <v>0</v>
      </c>
    </row>
    <row r="65" spans="2:19" s="496" customFormat="1" ht="12" hidden="1">
      <c r="B65" s="561">
        <v>53</v>
      </c>
      <c r="C65" s="572"/>
      <c r="D65" s="541"/>
      <c r="E65" s="541"/>
      <c r="F65" s="543"/>
      <c r="G65" s="36">
        <f t="shared" si="0"/>
        <v>0</v>
      </c>
      <c r="H65" s="554">
        <f>IF(Consolidado_Geral!$G$133=7.6%,-(0.0165+0.076)*F65,0)</f>
        <v>0</v>
      </c>
      <c r="I65" s="36">
        <f t="shared" si="1"/>
        <v>0</v>
      </c>
      <c r="J65" s="574"/>
      <c r="K65" s="549"/>
      <c r="M65" s="557">
        <f t="shared" si="4"/>
        <v>0</v>
      </c>
      <c r="N65" s="3"/>
      <c r="O65" s="557">
        <f t="shared" si="2"/>
        <v>0</v>
      </c>
      <c r="Q65" s="543"/>
      <c r="S65" s="557">
        <f t="shared" si="3"/>
        <v>0</v>
      </c>
    </row>
    <row r="66" spans="2:19" s="496" customFormat="1" ht="12" hidden="1">
      <c r="B66" s="561">
        <v>54</v>
      </c>
      <c r="C66" s="572"/>
      <c r="D66" s="541"/>
      <c r="E66" s="541"/>
      <c r="F66" s="543"/>
      <c r="G66" s="36">
        <f t="shared" si="0"/>
        <v>0</v>
      </c>
      <c r="H66" s="554">
        <f>IF(Consolidado_Geral!$G$133=7.6%,-(0.0165+0.076)*F66,0)</f>
        <v>0</v>
      </c>
      <c r="I66" s="36">
        <f t="shared" si="1"/>
        <v>0</v>
      </c>
      <c r="J66" s="574"/>
      <c r="K66" s="549"/>
      <c r="M66" s="557">
        <f t="shared" si="4"/>
        <v>0</v>
      </c>
      <c r="N66" s="3"/>
      <c r="O66" s="557">
        <f t="shared" si="2"/>
        <v>0</v>
      </c>
      <c r="Q66" s="543"/>
      <c r="S66" s="557">
        <f t="shared" si="3"/>
        <v>0</v>
      </c>
    </row>
    <row r="67" spans="2:19" s="496" customFormat="1" ht="12" hidden="1">
      <c r="B67" s="561">
        <v>55</v>
      </c>
      <c r="C67" s="572"/>
      <c r="D67" s="541"/>
      <c r="E67" s="541"/>
      <c r="F67" s="543"/>
      <c r="G67" s="36">
        <f t="shared" si="0"/>
        <v>0</v>
      </c>
      <c r="H67" s="554">
        <f>IF(Consolidado_Geral!$G$133=7.6%,-(0.0165+0.076)*F67,0)</f>
        <v>0</v>
      </c>
      <c r="I67" s="36">
        <f t="shared" si="1"/>
        <v>0</v>
      </c>
      <c r="J67" s="574"/>
      <c r="K67" s="549"/>
      <c r="M67" s="557">
        <f t="shared" si="4"/>
        <v>0</v>
      </c>
      <c r="N67" s="3"/>
      <c r="O67" s="557">
        <f t="shared" si="2"/>
        <v>0</v>
      </c>
      <c r="Q67" s="543"/>
      <c r="S67" s="557">
        <f t="shared" si="3"/>
        <v>0</v>
      </c>
    </row>
    <row r="68" spans="2:19" s="496" customFormat="1" ht="12" hidden="1">
      <c r="B68" s="561">
        <v>56</v>
      </c>
      <c r="C68" s="572"/>
      <c r="D68" s="541"/>
      <c r="E68" s="541"/>
      <c r="F68" s="543"/>
      <c r="G68" s="36">
        <f t="shared" si="0"/>
        <v>0</v>
      </c>
      <c r="H68" s="554">
        <f>IF(Consolidado_Geral!$G$133=7.6%,-(0.0165+0.076)*F68,0)</f>
        <v>0</v>
      </c>
      <c r="I68" s="36">
        <f t="shared" si="1"/>
        <v>0</v>
      </c>
      <c r="J68" s="574"/>
      <c r="K68" s="549"/>
      <c r="M68" s="557">
        <f t="shared" si="4"/>
        <v>0</v>
      </c>
      <c r="N68" s="3"/>
      <c r="O68" s="557">
        <f t="shared" si="2"/>
        <v>0</v>
      </c>
      <c r="Q68" s="543"/>
      <c r="S68" s="557">
        <f t="shared" si="3"/>
        <v>0</v>
      </c>
    </row>
    <row r="69" spans="2:19" s="496" customFormat="1" ht="12" hidden="1">
      <c r="B69" s="561">
        <v>57</v>
      </c>
      <c r="C69" s="572"/>
      <c r="D69" s="541"/>
      <c r="E69" s="541"/>
      <c r="F69" s="543"/>
      <c r="G69" s="36">
        <f t="shared" si="0"/>
        <v>0</v>
      </c>
      <c r="H69" s="554">
        <f>IF(Consolidado_Geral!$G$133=7.6%,-(0.0165+0.076)*F69,0)</f>
        <v>0</v>
      </c>
      <c r="I69" s="36">
        <f t="shared" si="1"/>
        <v>0</v>
      </c>
      <c r="J69" s="574"/>
      <c r="K69" s="549"/>
      <c r="M69" s="557">
        <f t="shared" si="4"/>
        <v>0</v>
      </c>
      <c r="N69" s="3"/>
      <c r="O69" s="557">
        <f t="shared" si="2"/>
        <v>0</v>
      </c>
      <c r="Q69" s="543"/>
      <c r="S69" s="557">
        <f t="shared" si="3"/>
        <v>0</v>
      </c>
    </row>
    <row r="70" spans="2:19" s="496" customFormat="1" ht="12" hidden="1">
      <c r="B70" s="561">
        <v>58</v>
      </c>
      <c r="C70" s="572"/>
      <c r="D70" s="541"/>
      <c r="E70" s="541"/>
      <c r="F70" s="543"/>
      <c r="G70" s="36">
        <f t="shared" si="0"/>
        <v>0</v>
      </c>
      <c r="H70" s="554">
        <f>IF(Consolidado_Geral!$G$133=7.6%,-(0.0165+0.076)*F70,0)</f>
        <v>0</v>
      </c>
      <c r="I70" s="36">
        <f t="shared" si="1"/>
        <v>0</v>
      </c>
      <c r="J70" s="574"/>
      <c r="K70" s="549"/>
      <c r="M70" s="557">
        <f t="shared" si="4"/>
        <v>0</v>
      </c>
      <c r="N70" s="3"/>
      <c r="O70" s="557">
        <f t="shared" si="2"/>
        <v>0</v>
      </c>
      <c r="Q70" s="543"/>
      <c r="S70" s="557">
        <f t="shared" si="3"/>
        <v>0</v>
      </c>
    </row>
    <row r="71" spans="2:19" s="496" customFormat="1" ht="12" hidden="1">
      <c r="B71" s="561">
        <v>59</v>
      </c>
      <c r="C71" s="572"/>
      <c r="D71" s="541"/>
      <c r="E71" s="541"/>
      <c r="F71" s="543"/>
      <c r="G71" s="36">
        <f t="shared" si="0"/>
        <v>0</v>
      </c>
      <c r="H71" s="554">
        <f>IF(Consolidado_Geral!$G$133=7.6%,-(0.0165+0.076)*F71,0)</f>
        <v>0</v>
      </c>
      <c r="I71" s="36">
        <f t="shared" si="1"/>
        <v>0</v>
      </c>
      <c r="J71" s="574"/>
      <c r="K71" s="549"/>
      <c r="M71" s="557">
        <f t="shared" si="4"/>
        <v>0</v>
      </c>
      <c r="N71" s="3"/>
      <c r="O71" s="557">
        <f t="shared" si="2"/>
        <v>0</v>
      </c>
      <c r="Q71" s="543"/>
      <c r="S71" s="557">
        <f t="shared" si="3"/>
        <v>0</v>
      </c>
    </row>
    <row r="72" spans="2:19" s="496" customFormat="1" ht="12" hidden="1">
      <c r="B72" s="561">
        <v>60</v>
      </c>
      <c r="C72" s="572"/>
      <c r="D72" s="541"/>
      <c r="E72" s="541"/>
      <c r="F72" s="543"/>
      <c r="G72" s="36">
        <f t="shared" si="0"/>
        <v>0</v>
      </c>
      <c r="H72" s="554">
        <f>IF(Consolidado_Geral!$G$133=7.6%,-(0.0165+0.076)*F72,0)</f>
        <v>0</v>
      </c>
      <c r="I72" s="36">
        <f t="shared" si="1"/>
        <v>0</v>
      </c>
      <c r="J72" s="574"/>
      <c r="K72" s="549"/>
      <c r="M72" s="557">
        <f t="shared" si="4"/>
        <v>0</v>
      </c>
      <c r="N72" s="3"/>
      <c r="O72" s="557">
        <f t="shared" si="2"/>
        <v>0</v>
      </c>
      <c r="Q72" s="543"/>
      <c r="S72" s="557">
        <f t="shared" si="3"/>
        <v>0</v>
      </c>
    </row>
    <row r="73" spans="2:19" s="496" customFormat="1" ht="12" hidden="1">
      <c r="B73" s="561">
        <v>61</v>
      </c>
      <c r="C73" s="572"/>
      <c r="D73" s="541"/>
      <c r="E73" s="541"/>
      <c r="F73" s="543"/>
      <c r="G73" s="36">
        <f t="shared" si="0"/>
        <v>0</v>
      </c>
      <c r="H73" s="554">
        <f>IF(Consolidado_Geral!$G$133=7.6%,-(0.0165+0.076)*F73,0)</f>
        <v>0</v>
      </c>
      <c r="I73" s="36">
        <f t="shared" si="1"/>
        <v>0</v>
      </c>
      <c r="J73" s="574"/>
      <c r="K73" s="549"/>
      <c r="M73" s="557">
        <f t="shared" si="4"/>
        <v>0</v>
      </c>
      <c r="N73" s="3"/>
      <c r="O73" s="557">
        <f t="shared" si="2"/>
        <v>0</v>
      </c>
      <c r="Q73" s="543"/>
      <c r="S73" s="557">
        <f t="shared" si="3"/>
        <v>0</v>
      </c>
    </row>
    <row r="74" spans="2:19" s="496" customFormat="1" ht="12" hidden="1">
      <c r="B74" s="561">
        <v>62</v>
      </c>
      <c r="C74" s="572"/>
      <c r="D74" s="541"/>
      <c r="E74" s="541"/>
      <c r="F74" s="543"/>
      <c r="G74" s="36">
        <f t="shared" si="0"/>
        <v>0</v>
      </c>
      <c r="H74" s="554">
        <f>IF(Consolidado_Geral!$G$133=7.6%,-(0.0165+0.076)*F74,0)</f>
        <v>0</v>
      </c>
      <c r="I74" s="36">
        <f t="shared" si="1"/>
        <v>0</v>
      </c>
      <c r="J74" s="574"/>
      <c r="K74" s="549"/>
      <c r="M74" s="557">
        <f t="shared" si="4"/>
        <v>0</v>
      </c>
      <c r="N74" s="3"/>
      <c r="O74" s="557">
        <f t="shared" si="2"/>
        <v>0</v>
      </c>
      <c r="Q74" s="543"/>
      <c r="S74" s="557">
        <f t="shared" si="3"/>
        <v>0</v>
      </c>
    </row>
    <row r="75" spans="2:19" s="496" customFormat="1" ht="12" hidden="1">
      <c r="B75" s="561">
        <v>63</v>
      </c>
      <c r="C75" s="572"/>
      <c r="D75" s="541"/>
      <c r="E75" s="541"/>
      <c r="F75" s="543"/>
      <c r="G75" s="36">
        <f t="shared" si="0"/>
        <v>0</v>
      </c>
      <c r="H75" s="554">
        <f>IF(Consolidado_Geral!$G$133=7.6%,-(0.0165+0.076)*F75,0)</f>
        <v>0</v>
      </c>
      <c r="I75" s="36">
        <f t="shared" si="1"/>
        <v>0</v>
      </c>
      <c r="J75" s="574"/>
      <c r="K75" s="549"/>
      <c r="M75" s="557">
        <f t="shared" si="4"/>
        <v>0</v>
      </c>
      <c r="N75" s="3"/>
      <c r="O75" s="557">
        <f t="shared" si="2"/>
        <v>0</v>
      </c>
      <c r="Q75" s="543"/>
      <c r="S75" s="557">
        <f t="shared" si="3"/>
        <v>0</v>
      </c>
    </row>
    <row r="76" spans="2:19" s="496" customFormat="1" ht="12" hidden="1">
      <c r="B76" s="561">
        <v>64</v>
      </c>
      <c r="C76" s="572"/>
      <c r="D76" s="541"/>
      <c r="E76" s="541"/>
      <c r="F76" s="543"/>
      <c r="G76" s="36">
        <f t="shared" si="0"/>
        <v>0</v>
      </c>
      <c r="H76" s="554">
        <f>IF(Consolidado_Geral!$G$133=7.6%,-(0.0165+0.076)*F76,0)</f>
        <v>0</v>
      </c>
      <c r="I76" s="36">
        <f t="shared" si="1"/>
        <v>0</v>
      </c>
      <c r="J76" s="574"/>
      <c r="K76" s="549"/>
      <c r="M76" s="557">
        <f t="shared" si="4"/>
        <v>0</v>
      </c>
      <c r="N76" s="3"/>
      <c r="O76" s="557">
        <f t="shared" si="2"/>
        <v>0</v>
      </c>
      <c r="Q76" s="543"/>
      <c r="S76" s="557">
        <f t="shared" si="3"/>
        <v>0</v>
      </c>
    </row>
    <row r="77" spans="2:19" s="496" customFormat="1" ht="12" hidden="1">
      <c r="B77" s="561">
        <v>65</v>
      </c>
      <c r="C77" s="572"/>
      <c r="D77" s="541"/>
      <c r="E77" s="541"/>
      <c r="F77" s="543"/>
      <c r="G77" s="36">
        <f t="shared" ref="G77:G140" si="5">F77*E77</f>
        <v>0</v>
      </c>
      <c r="H77" s="554">
        <f>IF(Consolidado_Geral!$G$133=7.6%,-(0.0165+0.076)*F77,0)</f>
        <v>0</v>
      </c>
      <c r="I77" s="36">
        <f t="shared" ref="I77:I140" si="6">H77*E77</f>
        <v>0</v>
      </c>
      <c r="J77" s="574"/>
      <c r="K77" s="549"/>
      <c r="M77" s="557">
        <f t="shared" si="4"/>
        <v>0</v>
      </c>
      <c r="N77" s="3"/>
      <c r="O77" s="557">
        <f t="shared" ref="O77:O140" si="7">IF(E77=0,0,(M77/K77)*E77)</f>
        <v>0</v>
      </c>
      <c r="Q77" s="543"/>
      <c r="S77" s="557">
        <f t="shared" ref="S77:S140" si="8">Q77*E77</f>
        <v>0</v>
      </c>
    </row>
    <row r="78" spans="2:19" s="496" customFormat="1" ht="12" hidden="1">
      <c r="B78" s="561">
        <v>66</v>
      </c>
      <c r="C78" s="572"/>
      <c r="D78" s="541"/>
      <c r="E78" s="541"/>
      <c r="F78" s="543"/>
      <c r="G78" s="36">
        <f t="shared" si="5"/>
        <v>0</v>
      </c>
      <c r="H78" s="554">
        <f>IF(Consolidado_Geral!$G$133=7.6%,-(0.0165+0.076)*F78,0)</f>
        <v>0</v>
      </c>
      <c r="I78" s="36">
        <f t="shared" si="6"/>
        <v>0</v>
      </c>
      <c r="J78" s="574"/>
      <c r="K78" s="549"/>
      <c r="M78" s="557">
        <f t="shared" ref="M78:M141" si="9">IF(E78&gt;0,(F78+H78)-J78,0)</f>
        <v>0</v>
      </c>
      <c r="N78" s="3"/>
      <c r="O78" s="557">
        <f t="shared" si="7"/>
        <v>0</v>
      </c>
      <c r="Q78" s="543"/>
      <c r="S78" s="557">
        <f t="shared" si="8"/>
        <v>0</v>
      </c>
    </row>
    <row r="79" spans="2:19" s="496" customFormat="1" ht="12" hidden="1">
      <c r="B79" s="561">
        <v>67</v>
      </c>
      <c r="C79" s="572"/>
      <c r="D79" s="541"/>
      <c r="E79" s="541"/>
      <c r="F79" s="543"/>
      <c r="G79" s="36">
        <f t="shared" si="5"/>
        <v>0</v>
      </c>
      <c r="H79" s="554">
        <f>IF(Consolidado_Geral!$G$133=7.6%,-(0.0165+0.076)*F79,0)</f>
        <v>0</v>
      </c>
      <c r="I79" s="36">
        <f t="shared" si="6"/>
        <v>0</v>
      </c>
      <c r="J79" s="574"/>
      <c r="K79" s="549"/>
      <c r="M79" s="557">
        <f t="shared" si="9"/>
        <v>0</v>
      </c>
      <c r="N79" s="3"/>
      <c r="O79" s="557">
        <f t="shared" si="7"/>
        <v>0</v>
      </c>
      <c r="Q79" s="543"/>
      <c r="S79" s="557">
        <f t="shared" si="8"/>
        <v>0</v>
      </c>
    </row>
    <row r="80" spans="2:19" s="496" customFormat="1" ht="12" hidden="1">
      <c r="B80" s="561">
        <v>68</v>
      </c>
      <c r="C80" s="572"/>
      <c r="D80" s="541"/>
      <c r="E80" s="541"/>
      <c r="F80" s="543"/>
      <c r="G80" s="36">
        <f t="shared" si="5"/>
        <v>0</v>
      </c>
      <c r="H80" s="554">
        <f>IF(Consolidado_Geral!$G$133=7.6%,-(0.0165+0.076)*F80,0)</f>
        <v>0</v>
      </c>
      <c r="I80" s="36">
        <f t="shared" si="6"/>
        <v>0</v>
      </c>
      <c r="J80" s="574"/>
      <c r="K80" s="549"/>
      <c r="M80" s="557">
        <f t="shared" si="9"/>
        <v>0</v>
      </c>
      <c r="N80" s="3"/>
      <c r="O80" s="557">
        <f t="shared" si="7"/>
        <v>0</v>
      </c>
      <c r="Q80" s="543"/>
      <c r="S80" s="557">
        <f t="shared" si="8"/>
        <v>0</v>
      </c>
    </row>
    <row r="81" spans="2:19" s="496" customFormat="1" ht="12" hidden="1">
      <c r="B81" s="561">
        <v>69</v>
      </c>
      <c r="C81" s="572"/>
      <c r="D81" s="541"/>
      <c r="E81" s="541"/>
      <c r="F81" s="543"/>
      <c r="G81" s="36">
        <f t="shared" si="5"/>
        <v>0</v>
      </c>
      <c r="H81" s="554">
        <f>IF(Consolidado_Geral!$G$133=7.6%,-(0.0165+0.076)*F81,0)</f>
        <v>0</v>
      </c>
      <c r="I81" s="36">
        <f t="shared" si="6"/>
        <v>0</v>
      </c>
      <c r="J81" s="574"/>
      <c r="K81" s="549"/>
      <c r="M81" s="557">
        <f t="shared" si="9"/>
        <v>0</v>
      </c>
      <c r="N81" s="3"/>
      <c r="O81" s="557">
        <f t="shared" si="7"/>
        <v>0</v>
      </c>
      <c r="Q81" s="543"/>
      <c r="S81" s="557">
        <f t="shared" si="8"/>
        <v>0</v>
      </c>
    </row>
    <row r="82" spans="2:19" s="496" customFormat="1" ht="12" hidden="1">
      <c r="B82" s="561">
        <v>70</v>
      </c>
      <c r="C82" s="572"/>
      <c r="D82" s="541"/>
      <c r="E82" s="541"/>
      <c r="F82" s="543"/>
      <c r="G82" s="36">
        <f t="shared" si="5"/>
        <v>0</v>
      </c>
      <c r="H82" s="554">
        <f>IF(Consolidado_Geral!$G$133=7.6%,-(0.0165+0.076)*F82,0)</f>
        <v>0</v>
      </c>
      <c r="I82" s="36">
        <f t="shared" si="6"/>
        <v>0</v>
      </c>
      <c r="J82" s="574"/>
      <c r="K82" s="549"/>
      <c r="M82" s="557">
        <f t="shared" si="9"/>
        <v>0</v>
      </c>
      <c r="N82" s="3"/>
      <c r="O82" s="557">
        <f t="shared" si="7"/>
        <v>0</v>
      </c>
      <c r="Q82" s="543"/>
      <c r="S82" s="557">
        <f t="shared" si="8"/>
        <v>0</v>
      </c>
    </row>
    <row r="83" spans="2:19" s="496" customFormat="1" ht="12" hidden="1">
      <c r="B83" s="561">
        <v>71</v>
      </c>
      <c r="C83" s="572"/>
      <c r="D83" s="541"/>
      <c r="E83" s="541"/>
      <c r="F83" s="543"/>
      <c r="G83" s="36">
        <f t="shared" si="5"/>
        <v>0</v>
      </c>
      <c r="H83" s="554">
        <f>IF(Consolidado_Geral!$G$133=7.6%,-(0.0165+0.076)*F83,0)</f>
        <v>0</v>
      </c>
      <c r="I83" s="36">
        <f t="shared" si="6"/>
        <v>0</v>
      </c>
      <c r="J83" s="574"/>
      <c r="K83" s="549"/>
      <c r="M83" s="557">
        <f t="shared" si="9"/>
        <v>0</v>
      </c>
      <c r="N83" s="3"/>
      <c r="O83" s="557">
        <f t="shared" si="7"/>
        <v>0</v>
      </c>
      <c r="Q83" s="543"/>
      <c r="S83" s="557">
        <f t="shared" si="8"/>
        <v>0</v>
      </c>
    </row>
    <row r="84" spans="2:19" s="496" customFormat="1" ht="12" hidden="1">
      <c r="B84" s="561">
        <v>72</v>
      </c>
      <c r="C84" s="572"/>
      <c r="D84" s="541"/>
      <c r="E84" s="541"/>
      <c r="F84" s="543"/>
      <c r="G84" s="36">
        <f t="shared" si="5"/>
        <v>0</v>
      </c>
      <c r="H84" s="554">
        <f>IF(Consolidado_Geral!$G$133=7.6%,-(0.0165+0.076)*F84,0)</f>
        <v>0</v>
      </c>
      <c r="I84" s="36">
        <f t="shared" si="6"/>
        <v>0</v>
      </c>
      <c r="J84" s="574"/>
      <c r="K84" s="549"/>
      <c r="M84" s="557">
        <f t="shared" si="9"/>
        <v>0</v>
      </c>
      <c r="N84" s="3"/>
      <c r="O84" s="557">
        <f t="shared" si="7"/>
        <v>0</v>
      </c>
      <c r="Q84" s="543"/>
      <c r="S84" s="557">
        <f t="shared" si="8"/>
        <v>0</v>
      </c>
    </row>
    <row r="85" spans="2:19" s="496" customFormat="1" ht="12" hidden="1">
      <c r="B85" s="561">
        <v>73</v>
      </c>
      <c r="C85" s="572"/>
      <c r="D85" s="541"/>
      <c r="E85" s="541"/>
      <c r="F85" s="543"/>
      <c r="G85" s="36">
        <f t="shared" si="5"/>
        <v>0</v>
      </c>
      <c r="H85" s="554">
        <f>IF(Consolidado_Geral!$G$133=7.6%,-(0.0165+0.076)*F85,0)</f>
        <v>0</v>
      </c>
      <c r="I85" s="36">
        <f t="shared" si="6"/>
        <v>0</v>
      </c>
      <c r="J85" s="574"/>
      <c r="K85" s="549"/>
      <c r="M85" s="557">
        <f t="shared" si="9"/>
        <v>0</v>
      </c>
      <c r="N85" s="3"/>
      <c r="O85" s="557">
        <f t="shared" si="7"/>
        <v>0</v>
      </c>
      <c r="Q85" s="543"/>
      <c r="S85" s="557">
        <f t="shared" si="8"/>
        <v>0</v>
      </c>
    </row>
    <row r="86" spans="2:19" s="496" customFormat="1" ht="12" hidden="1">
      <c r="B86" s="561">
        <v>74</v>
      </c>
      <c r="C86" s="572"/>
      <c r="D86" s="541"/>
      <c r="E86" s="541"/>
      <c r="F86" s="543"/>
      <c r="G86" s="36">
        <f t="shared" si="5"/>
        <v>0</v>
      </c>
      <c r="H86" s="554">
        <f>IF(Consolidado_Geral!$G$133=7.6%,-(0.0165+0.076)*F86,0)</f>
        <v>0</v>
      </c>
      <c r="I86" s="36">
        <f t="shared" si="6"/>
        <v>0</v>
      </c>
      <c r="J86" s="574"/>
      <c r="K86" s="549"/>
      <c r="M86" s="557">
        <f t="shared" si="9"/>
        <v>0</v>
      </c>
      <c r="N86" s="3"/>
      <c r="O86" s="557">
        <f t="shared" si="7"/>
        <v>0</v>
      </c>
      <c r="Q86" s="543"/>
      <c r="S86" s="557">
        <f t="shared" si="8"/>
        <v>0</v>
      </c>
    </row>
    <row r="87" spans="2:19" s="496" customFormat="1" ht="12" hidden="1">
      <c r="B87" s="561">
        <v>75</v>
      </c>
      <c r="C87" s="572"/>
      <c r="D87" s="541"/>
      <c r="E87" s="541"/>
      <c r="F87" s="543"/>
      <c r="G87" s="36">
        <f t="shared" si="5"/>
        <v>0</v>
      </c>
      <c r="H87" s="554">
        <f>IF(Consolidado_Geral!$G$133=7.6%,-(0.0165+0.076)*F87,0)</f>
        <v>0</v>
      </c>
      <c r="I87" s="36">
        <f t="shared" si="6"/>
        <v>0</v>
      </c>
      <c r="J87" s="574"/>
      <c r="K87" s="549"/>
      <c r="M87" s="557">
        <f t="shared" si="9"/>
        <v>0</v>
      </c>
      <c r="N87" s="3"/>
      <c r="O87" s="557">
        <f t="shared" si="7"/>
        <v>0</v>
      </c>
      <c r="Q87" s="543"/>
      <c r="S87" s="557">
        <f t="shared" si="8"/>
        <v>0</v>
      </c>
    </row>
    <row r="88" spans="2:19" s="496" customFormat="1" ht="12" hidden="1">
      <c r="B88" s="561">
        <v>76</v>
      </c>
      <c r="C88" s="572"/>
      <c r="D88" s="541"/>
      <c r="E88" s="541"/>
      <c r="F88" s="543"/>
      <c r="G88" s="36">
        <f t="shared" si="5"/>
        <v>0</v>
      </c>
      <c r="H88" s="554">
        <f>IF(Consolidado_Geral!$G$133=7.6%,-(0.0165+0.076)*F88,0)</f>
        <v>0</v>
      </c>
      <c r="I88" s="36">
        <f t="shared" si="6"/>
        <v>0</v>
      </c>
      <c r="J88" s="574"/>
      <c r="K88" s="549"/>
      <c r="M88" s="557">
        <f t="shared" si="9"/>
        <v>0</v>
      </c>
      <c r="N88" s="3"/>
      <c r="O88" s="557">
        <f t="shared" si="7"/>
        <v>0</v>
      </c>
      <c r="Q88" s="543"/>
      <c r="S88" s="557">
        <f t="shared" si="8"/>
        <v>0</v>
      </c>
    </row>
    <row r="89" spans="2:19" s="496" customFormat="1" ht="12" hidden="1">
      <c r="B89" s="561">
        <v>77</v>
      </c>
      <c r="C89" s="572"/>
      <c r="D89" s="541"/>
      <c r="E89" s="541"/>
      <c r="F89" s="543"/>
      <c r="G89" s="36">
        <f t="shared" si="5"/>
        <v>0</v>
      </c>
      <c r="H89" s="554">
        <f>IF(Consolidado_Geral!$G$133=7.6%,-(0.0165+0.076)*F89,0)</f>
        <v>0</v>
      </c>
      <c r="I89" s="36">
        <f t="shared" si="6"/>
        <v>0</v>
      </c>
      <c r="J89" s="574"/>
      <c r="K89" s="549"/>
      <c r="M89" s="557">
        <f t="shared" si="9"/>
        <v>0</v>
      </c>
      <c r="N89" s="3"/>
      <c r="O89" s="557">
        <f t="shared" si="7"/>
        <v>0</v>
      </c>
      <c r="Q89" s="543"/>
      <c r="S89" s="557">
        <f t="shared" si="8"/>
        <v>0</v>
      </c>
    </row>
    <row r="90" spans="2:19" s="496" customFormat="1" ht="12" hidden="1">
      <c r="B90" s="561">
        <v>78</v>
      </c>
      <c r="C90" s="572"/>
      <c r="D90" s="541"/>
      <c r="E90" s="541"/>
      <c r="F90" s="543"/>
      <c r="G90" s="36">
        <f t="shared" si="5"/>
        <v>0</v>
      </c>
      <c r="H90" s="554">
        <f>IF(Consolidado_Geral!$G$133=7.6%,-(0.0165+0.076)*F90,0)</f>
        <v>0</v>
      </c>
      <c r="I90" s="36">
        <f t="shared" si="6"/>
        <v>0</v>
      </c>
      <c r="J90" s="574"/>
      <c r="K90" s="549"/>
      <c r="M90" s="557">
        <f t="shared" si="9"/>
        <v>0</v>
      </c>
      <c r="N90" s="3"/>
      <c r="O90" s="557">
        <f t="shared" si="7"/>
        <v>0</v>
      </c>
      <c r="Q90" s="543"/>
      <c r="S90" s="557">
        <f t="shared" si="8"/>
        <v>0</v>
      </c>
    </row>
    <row r="91" spans="2:19" s="496" customFormat="1" ht="12" hidden="1">
      <c r="B91" s="561">
        <v>79</v>
      </c>
      <c r="C91" s="572"/>
      <c r="D91" s="541"/>
      <c r="E91" s="541"/>
      <c r="F91" s="543"/>
      <c r="G91" s="36">
        <f t="shared" si="5"/>
        <v>0</v>
      </c>
      <c r="H91" s="554">
        <f>IF(Consolidado_Geral!$G$133=7.6%,-(0.0165+0.076)*F91,0)</f>
        <v>0</v>
      </c>
      <c r="I91" s="36">
        <f t="shared" si="6"/>
        <v>0</v>
      </c>
      <c r="J91" s="574"/>
      <c r="K91" s="549"/>
      <c r="M91" s="557">
        <f t="shared" si="9"/>
        <v>0</v>
      </c>
      <c r="N91" s="3"/>
      <c r="O91" s="557">
        <f t="shared" si="7"/>
        <v>0</v>
      </c>
      <c r="Q91" s="543"/>
      <c r="S91" s="557">
        <f t="shared" si="8"/>
        <v>0</v>
      </c>
    </row>
    <row r="92" spans="2:19" s="496" customFormat="1" ht="12" hidden="1">
      <c r="B92" s="561">
        <v>80</v>
      </c>
      <c r="C92" s="572"/>
      <c r="D92" s="541"/>
      <c r="E92" s="541"/>
      <c r="F92" s="543"/>
      <c r="G92" s="36">
        <f t="shared" si="5"/>
        <v>0</v>
      </c>
      <c r="H92" s="554">
        <f>IF(Consolidado_Geral!$G$133=7.6%,-(0.0165+0.076)*F92,0)</f>
        <v>0</v>
      </c>
      <c r="I92" s="36">
        <f t="shared" si="6"/>
        <v>0</v>
      </c>
      <c r="J92" s="574"/>
      <c r="K92" s="549"/>
      <c r="M92" s="557">
        <f t="shared" si="9"/>
        <v>0</v>
      </c>
      <c r="N92" s="3"/>
      <c r="O92" s="557">
        <f t="shared" si="7"/>
        <v>0</v>
      </c>
      <c r="Q92" s="543"/>
      <c r="S92" s="557">
        <f t="shared" si="8"/>
        <v>0</v>
      </c>
    </row>
    <row r="93" spans="2:19" s="496" customFormat="1" ht="12" hidden="1">
      <c r="B93" s="561">
        <v>81</v>
      </c>
      <c r="C93" s="572"/>
      <c r="D93" s="541"/>
      <c r="E93" s="541"/>
      <c r="F93" s="543"/>
      <c r="G93" s="36">
        <f t="shared" si="5"/>
        <v>0</v>
      </c>
      <c r="H93" s="554">
        <f>IF(Consolidado_Geral!$G$133=7.6%,-(0.0165+0.076)*F93,0)</f>
        <v>0</v>
      </c>
      <c r="I93" s="36">
        <f t="shared" si="6"/>
        <v>0</v>
      </c>
      <c r="J93" s="574"/>
      <c r="K93" s="549"/>
      <c r="M93" s="557">
        <f t="shared" si="9"/>
        <v>0</v>
      </c>
      <c r="N93" s="3"/>
      <c r="O93" s="557">
        <f t="shared" si="7"/>
        <v>0</v>
      </c>
      <c r="Q93" s="543"/>
      <c r="S93" s="557">
        <f t="shared" si="8"/>
        <v>0</v>
      </c>
    </row>
    <row r="94" spans="2:19" s="496" customFormat="1" ht="12" hidden="1">
      <c r="B94" s="561">
        <v>82</v>
      </c>
      <c r="C94" s="572"/>
      <c r="D94" s="541"/>
      <c r="E94" s="541"/>
      <c r="F94" s="543"/>
      <c r="G94" s="36">
        <f t="shared" si="5"/>
        <v>0</v>
      </c>
      <c r="H94" s="554">
        <f>IF(Consolidado_Geral!$G$133=7.6%,-(0.0165+0.076)*F94,0)</f>
        <v>0</v>
      </c>
      <c r="I94" s="36">
        <f t="shared" si="6"/>
        <v>0</v>
      </c>
      <c r="J94" s="574"/>
      <c r="K94" s="549"/>
      <c r="M94" s="557">
        <f t="shared" si="9"/>
        <v>0</v>
      </c>
      <c r="N94" s="3"/>
      <c r="O94" s="557">
        <f t="shared" si="7"/>
        <v>0</v>
      </c>
      <c r="Q94" s="543"/>
      <c r="S94" s="557">
        <f t="shared" si="8"/>
        <v>0</v>
      </c>
    </row>
    <row r="95" spans="2:19" s="496" customFormat="1" ht="12" hidden="1">
      <c r="B95" s="561">
        <v>83</v>
      </c>
      <c r="C95" s="572"/>
      <c r="D95" s="541"/>
      <c r="E95" s="541"/>
      <c r="F95" s="543"/>
      <c r="G95" s="36">
        <f t="shared" si="5"/>
        <v>0</v>
      </c>
      <c r="H95" s="554">
        <f>IF(Consolidado_Geral!$G$133=7.6%,-(0.0165+0.076)*F95,0)</f>
        <v>0</v>
      </c>
      <c r="I95" s="36">
        <f t="shared" si="6"/>
        <v>0</v>
      </c>
      <c r="J95" s="574"/>
      <c r="K95" s="549"/>
      <c r="M95" s="557">
        <f t="shared" si="9"/>
        <v>0</v>
      </c>
      <c r="N95" s="3"/>
      <c r="O95" s="557">
        <f t="shared" si="7"/>
        <v>0</v>
      </c>
      <c r="Q95" s="543"/>
      <c r="S95" s="557">
        <f t="shared" si="8"/>
        <v>0</v>
      </c>
    </row>
    <row r="96" spans="2:19" s="496" customFormat="1" ht="12" hidden="1">
      <c r="B96" s="561">
        <v>84</v>
      </c>
      <c r="C96" s="572"/>
      <c r="D96" s="541"/>
      <c r="E96" s="541"/>
      <c r="F96" s="543"/>
      <c r="G96" s="36">
        <f t="shared" si="5"/>
        <v>0</v>
      </c>
      <c r="H96" s="554">
        <f>IF(Consolidado_Geral!$G$133=7.6%,-(0.0165+0.076)*F96,0)</f>
        <v>0</v>
      </c>
      <c r="I96" s="36">
        <f t="shared" si="6"/>
        <v>0</v>
      </c>
      <c r="J96" s="574"/>
      <c r="K96" s="549"/>
      <c r="M96" s="557">
        <f t="shared" si="9"/>
        <v>0</v>
      </c>
      <c r="N96" s="3"/>
      <c r="O96" s="557">
        <f t="shared" si="7"/>
        <v>0</v>
      </c>
      <c r="Q96" s="543"/>
      <c r="S96" s="557">
        <f t="shared" si="8"/>
        <v>0</v>
      </c>
    </row>
    <row r="97" spans="2:19" s="496" customFormat="1" ht="12" hidden="1">
      <c r="B97" s="561">
        <v>85</v>
      </c>
      <c r="C97" s="572"/>
      <c r="D97" s="541"/>
      <c r="E97" s="541"/>
      <c r="F97" s="543"/>
      <c r="G97" s="36">
        <f t="shared" si="5"/>
        <v>0</v>
      </c>
      <c r="H97" s="554">
        <f>IF(Consolidado_Geral!$G$133=7.6%,-(0.0165+0.076)*F97,0)</f>
        <v>0</v>
      </c>
      <c r="I97" s="36">
        <f t="shared" si="6"/>
        <v>0</v>
      </c>
      <c r="J97" s="574"/>
      <c r="K97" s="549"/>
      <c r="M97" s="557">
        <f t="shared" si="9"/>
        <v>0</v>
      </c>
      <c r="N97" s="3"/>
      <c r="O97" s="557">
        <f t="shared" si="7"/>
        <v>0</v>
      </c>
      <c r="Q97" s="543"/>
      <c r="S97" s="557">
        <f t="shared" si="8"/>
        <v>0</v>
      </c>
    </row>
    <row r="98" spans="2:19" s="496" customFormat="1" ht="12" hidden="1">
      <c r="B98" s="561">
        <v>86</v>
      </c>
      <c r="C98" s="572"/>
      <c r="D98" s="541"/>
      <c r="E98" s="541"/>
      <c r="F98" s="543"/>
      <c r="G98" s="36">
        <f t="shared" si="5"/>
        <v>0</v>
      </c>
      <c r="H98" s="554">
        <f>IF(Consolidado_Geral!$G$133=7.6%,-(0.0165+0.076)*F98,0)</f>
        <v>0</v>
      </c>
      <c r="I98" s="36">
        <f t="shared" si="6"/>
        <v>0</v>
      </c>
      <c r="J98" s="574"/>
      <c r="K98" s="549"/>
      <c r="M98" s="557">
        <f t="shared" si="9"/>
        <v>0</v>
      </c>
      <c r="N98" s="3"/>
      <c r="O98" s="557">
        <f t="shared" si="7"/>
        <v>0</v>
      </c>
      <c r="Q98" s="543"/>
      <c r="S98" s="557">
        <f t="shared" si="8"/>
        <v>0</v>
      </c>
    </row>
    <row r="99" spans="2:19" s="496" customFormat="1" ht="12" hidden="1">
      <c r="B99" s="561">
        <v>87</v>
      </c>
      <c r="C99" s="572"/>
      <c r="D99" s="541"/>
      <c r="E99" s="541"/>
      <c r="F99" s="543"/>
      <c r="G99" s="36">
        <f t="shared" si="5"/>
        <v>0</v>
      </c>
      <c r="H99" s="554">
        <f>IF(Consolidado_Geral!$G$133=7.6%,-(0.0165+0.076)*F99,0)</f>
        <v>0</v>
      </c>
      <c r="I99" s="36">
        <f t="shared" si="6"/>
        <v>0</v>
      </c>
      <c r="J99" s="574"/>
      <c r="K99" s="549"/>
      <c r="M99" s="557">
        <f t="shared" si="9"/>
        <v>0</v>
      </c>
      <c r="N99" s="3"/>
      <c r="O99" s="557">
        <f t="shared" si="7"/>
        <v>0</v>
      </c>
      <c r="Q99" s="543"/>
      <c r="S99" s="557">
        <f t="shared" si="8"/>
        <v>0</v>
      </c>
    </row>
    <row r="100" spans="2:19" s="496" customFormat="1" ht="12" hidden="1">
      <c r="B100" s="561">
        <v>88</v>
      </c>
      <c r="C100" s="572"/>
      <c r="D100" s="541"/>
      <c r="E100" s="541"/>
      <c r="F100" s="543"/>
      <c r="G100" s="36">
        <f t="shared" si="5"/>
        <v>0</v>
      </c>
      <c r="H100" s="554">
        <f>IF(Consolidado_Geral!$G$133=7.6%,-(0.0165+0.076)*F100,0)</f>
        <v>0</v>
      </c>
      <c r="I100" s="36">
        <f t="shared" si="6"/>
        <v>0</v>
      </c>
      <c r="J100" s="574"/>
      <c r="K100" s="549"/>
      <c r="M100" s="557">
        <f t="shared" si="9"/>
        <v>0</v>
      </c>
      <c r="N100" s="3"/>
      <c r="O100" s="557">
        <f t="shared" si="7"/>
        <v>0</v>
      </c>
      <c r="Q100" s="543"/>
      <c r="S100" s="557">
        <f t="shared" si="8"/>
        <v>0</v>
      </c>
    </row>
    <row r="101" spans="2:19" s="496" customFormat="1" ht="12" hidden="1">
      <c r="B101" s="561">
        <v>89</v>
      </c>
      <c r="C101" s="572"/>
      <c r="D101" s="541"/>
      <c r="E101" s="541"/>
      <c r="F101" s="543"/>
      <c r="G101" s="36">
        <f t="shared" si="5"/>
        <v>0</v>
      </c>
      <c r="H101" s="554">
        <f>IF(Consolidado_Geral!$G$133=7.6%,-(0.0165+0.076)*F101,0)</f>
        <v>0</v>
      </c>
      <c r="I101" s="36">
        <f t="shared" si="6"/>
        <v>0</v>
      </c>
      <c r="J101" s="574"/>
      <c r="K101" s="549"/>
      <c r="M101" s="557">
        <f t="shared" si="9"/>
        <v>0</v>
      </c>
      <c r="N101" s="3"/>
      <c r="O101" s="557">
        <f t="shared" si="7"/>
        <v>0</v>
      </c>
      <c r="Q101" s="543"/>
      <c r="S101" s="557">
        <f t="shared" si="8"/>
        <v>0</v>
      </c>
    </row>
    <row r="102" spans="2:19" s="496" customFormat="1" ht="12" hidden="1">
      <c r="B102" s="561">
        <v>90</v>
      </c>
      <c r="C102" s="572"/>
      <c r="D102" s="541"/>
      <c r="E102" s="541"/>
      <c r="F102" s="543"/>
      <c r="G102" s="36">
        <f t="shared" si="5"/>
        <v>0</v>
      </c>
      <c r="H102" s="554">
        <f>IF(Consolidado_Geral!$G$133=7.6%,-(0.0165+0.076)*F102,0)</f>
        <v>0</v>
      </c>
      <c r="I102" s="36">
        <f t="shared" si="6"/>
        <v>0</v>
      </c>
      <c r="J102" s="574"/>
      <c r="K102" s="549"/>
      <c r="M102" s="557">
        <f t="shared" si="9"/>
        <v>0</v>
      </c>
      <c r="N102" s="3"/>
      <c r="O102" s="557">
        <f t="shared" si="7"/>
        <v>0</v>
      </c>
      <c r="Q102" s="543"/>
      <c r="S102" s="557">
        <f t="shared" si="8"/>
        <v>0</v>
      </c>
    </row>
    <row r="103" spans="2:19" s="496" customFormat="1" ht="12" hidden="1">
      <c r="B103" s="561">
        <v>91</v>
      </c>
      <c r="C103" s="572"/>
      <c r="D103" s="541"/>
      <c r="E103" s="541"/>
      <c r="F103" s="543"/>
      <c r="G103" s="36">
        <f t="shared" si="5"/>
        <v>0</v>
      </c>
      <c r="H103" s="554">
        <f>IF(Consolidado_Geral!$G$133=7.6%,-(0.0165+0.076)*F103,0)</f>
        <v>0</v>
      </c>
      <c r="I103" s="36">
        <f t="shared" si="6"/>
        <v>0</v>
      </c>
      <c r="J103" s="574"/>
      <c r="K103" s="549"/>
      <c r="M103" s="557">
        <f t="shared" si="9"/>
        <v>0</v>
      </c>
      <c r="N103" s="3"/>
      <c r="O103" s="557">
        <f t="shared" si="7"/>
        <v>0</v>
      </c>
      <c r="Q103" s="543"/>
      <c r="S103" s="557">
        <f t="shared" si="8"/>
        <v>0</v>
      </c>
    </row>
    <row r="104" spans="2:19" s="496" customFormat="1" ht="12" hidden="1">
      <c r="B104" s="561">
        <v>92</v>
      </c>
      <c r="C104" s="572"/>
      <c r="D104" s="541"/>
      <c r="E104" s="541"/>
      <c r="F104" s="543"/>
      <c r="G104" s="36">
        <f t="shared" si="5"/>
        <v>0</v>
      </c>
      <c r="H104" s="554">
        <f>IF(Consolidado_Geral!$G$133=7.6%,-(0.0165+0.076)*F104,0)</f>
        <v>0</v>
      </c>
      <c r="I104" s="36">
        <f t="shared" si="6"/>
        <v>0</v>
      </c>
      <c r="J104" s="574"/>
      <c r="K104" s="549"/>
      <c r="M104" s="557">
        <f t="shared" si="9"/>
        <v>0</v>
      </c>
      <c r="N104" s="3"/>
      <c r="O104" s="557">
        <f t="shared" si="7"/>
        <v>0</v>
      </c>
      <c r="Q104" s="543"/>
      <c r="S104" s="557">
        <f t="shared" si="8"/>
        <v>0</v>
      </c>
    </row>
    <row r="105" spans="2:19" s="496" customFormat="1" ht="12" hidden="1">
      <c r="B105" s="561">
        <v>93</v>
      </c>
      <c r="C105" s="572"/>
      <c r="D105" s="541"/>
      <c r="E105" s="541"/>
      <c r="F105" s="543"/>
      <c r="G105" s="36">
        <f t="shared" si="5"/>
        <v>0</v>
      </c>
      <c r="H105" s="554">
        <f>IF(Consolidado_Geral!$G$133=7.6%,-(0.0165+0.076)*F105,0)</f>
        <v>0</v>
      </c>
      <c r="I105" s="36">
        <f t="shared" si="6"/>
        <v>0</v>
      </c>
      <c r="J105" s="574"/>
      <c r="K105" s="549"/>
      <c r="M105" s="557">
        <f t="shared" si="9"/>
        <v>0</v>
      </c>
      <c r="N105" s="3"/>
      <c r="O105" s="557">
        <f t="shared" si="7"/>
        <v>0</v>
      </c>
      <c r="Q105" s="543"/>
      <c r="S105" s="557">
        <f t="shared" si="8"/>
        <v>0</v>
      </c>
    </row>
    <row r="106" spans="2:19" s="496" customFormat="1" ht="12" hidden="1">
      <c r="B106" s="561">
        <v>94</v>
      </c>
      <c r="C106" s="572"/>
      <c r="D106" s="541"/>
      <c r="E106" s="541"/>
      <c r="F106" s="543"/>
      <c r="G106" s="36">
        <f t="shared" si="5"/>
        <v>0</v>
      </c>
      <c r="H106" s="554">
        <f>IF(Consolidado_Geral!$G$133=7.6%,-(0.0165+0.076)*F106,0)</f>
        <v>0</v>
      </c>
      <c r="I106" s="36">
        <f t="shared" si="6"/>
        <v>0</v>
      </c>
      <c r="J106" s="574"/>
      <c r="K106" s="549"/>
      <c r="M106" s="557">
        <f t="shared" si="9"/>
        <v>0</v>
      </c>
      <c r="N106" s="3"/>
      <c r="O106" s="557">
        <f t="shared" si="7"/>
        <v>0</v>
      </c>
      <c r="Q106" s="543"/>
      <c r="S106" s="557">
        <f t="shared" si="8"/>
        <v>0</v>
      </c>
    </row>
    <row r="107" spans="2:19" s="496" customFormat="1" ht="12" hidden="1">
      <c r="B107" s="561">
        <v>95</v>
      </c>
      <c r="C107" s="572"/>
      <c r="D107" s="541"/>
      <c r="E107" s="541"/>
      <c r="F107" s="543"/>
      <c r="G107" s="36">
        <f t="shared" si="5"/>
        <v>0</v>
      </c>
      <c r="H107" s="554">
        <f>IF(Consolidado_Geral!$G$133=7.6%,-(0.0165+0.076)*F107,0)</f>
        <v>0</v>
      </c>
      <c r="I107" s="36">
        <f t="shared" si="6"/>
        <v>0</v>
      </c>
      <c r="J107" s="574"/>
      <c r="K107" s="549"/>
      <c r="M107" s="557">
        <f t="shared" si="9"/>
        <v>0</v>
      </c>
      <c r="N107" s="3"/>
      <c r="O107" s="557">
        <f t="shared" si="7"/>
        <v>0</v>
      </c>
      <c r="Q107" s="543"/>
      <c r="S107" s="557">
        <f t="shared" si="8"/>
        <v>0</v>
      </c>
    </row>
    <row r="108" spans="2:19" s="496" customFormat="1" ht="12" hidden="1">
      <c r="B108" s="561">
        <v>96</v>
      </c>
      <c r="C108" s="572"/>
      <c r="D108" s="541"/>
      <c r="E108" s="541"/>
      <c r="F108" s="543"/>
      <c r="G108" s="36">
        <f t="shared" si="5"/>
        <v>0</v>
      </c>
      <c r="H108" s="554">
        <f>IF(Consolidado_Geral!$G$133=7.6%,-(0.0165+0.076)*F108,0)</f>
        <v>0</v>
      </c>
      <c r="I108" s="36">
        <f t="shared" si="6"/>
        <v>0</v>
      </c>
      <c r="J108" s="574"/>
      <c r="K108" s="549"/>
      <c r="M108" s="557">
        <f t="shared" si="9"/>
        <v>0</v>
      </c>
      <c r="N108" s="3"/>
      <c r="O108" s="557">
        <f t="shared" si="7"/>
        <v>0</v>
      </c>
      <c r="Q108" s="543"/>
      <c r="S108" s="557">
        <f t="shared" si="8"/>
        <v>0</v>
      </c>
    </row>
    <row r="109" spans="2:19" s="496" customFormat="1" ht="12" hidden="1">
      <c r="B109" s="561">
        <v>97</v>
      </c>
      <c r="C109" s="572"/>
      <c r="D109" s="541"/>
      <c r="E109" s="541"/>
      <c r="F109" s="543"/>
      <c r="G109" s="36">
        <f t="shared" si="5"/>
        <v>0</v>
      </c>
      <c r="H109" s="554">
        <f>IF(Consolidado_Geral!$G$133=7.6%,-(0.0165+0.076)*F109,0)</f>
        <v>0</v>
      </c>
      <c r="I109" s="36">
        <f t="shared" si="6"/>
        <v>0</v>
      </c>
      <c r="J109" s="574"/>
      <c r="K109" s="549"/>
      <c r="M109" s="557">
        <f t="shared" si="9"/>
        <v>0</v>
      </c>
      <c r="N109" s="3"/>
      <c r="O109" s="557">
        <f t="shared" si="7"/>
        <v>0</v>
      </c>
      <c r="Q109" s="543"/>
      <c r="S109" s="557">
        <f t="shared" si="8"/>
        <v>0</v>
      </c>
    </row>
    <row r="110" spans="2:19" s="496" customFormat="1" ht="12" hidden="1">
      <c r="B110" s="561">
        <v>98</v>
      </c>
      <c r="C110" s="572"/>
      <c r="D110" s="541"/>
      <c r="E110" s="541"/>
      <c r="F110" s="543"/>
      <c r="G110" s="36">
        <f t="shared" si="5"/>
        <v>0</v>
      </c>
      <c r="H110" s="554">
        <f>IF(Consolidado_Geral!$G$133=7.6%,-(0.0165+0.076)*F110,0)</f>
        <v>0</v>
      </c>
      <c r="I110" s="36">
        <f t="shared" si="6"/>
        <v>0</v>
      </c>
      <c r="J110" s="574"/>
      <c r="K110" s="549"/>
      <c r="M110" s="557">
        <f t="shared" si="9"/>
        <v>0</v>
      </c>
      <c r="N110" s="3"/>
      <c r="O110" s="557">
        <f t="shared" si="7"/>
        <v>0</v>
      </c>
      <c r="Q110" s="543"/>
      <c r="S110" s="557">
        <f t="shared" si="8"/>
        <v>0</v>
      </c>
    </row>
    <row r="111" spans="2:19" s="496" customFormat="1" ht="12" hidden="1">
      <c r="B111" s="561">
        <v>99</v>
      </c>
      <c r="C111" s="572"/>
      <c r="D111" s="541"/>
      <c r="E111" s="541"/>
      <c r="F111" s="543"/>
      <c r="G111" s="36">
        <f t="shared" si="5"/>
        <v>0</v>
      </c>
      <c r="H111" s="554">
        <f>IF(Consolidado_Geral!$G$133=7.6%,-(0.0165+0.076)*F111,0)</f>
        <v>0</v>
      </c>
      <c r="I111" s="36">
        <f t="shared" si="6"/>
        <v>0</v>
      </c>
      <c r="J111" s="574"/>
      <c r="K111" s="549"/>
      <c r="M111" s="557">
        <f t="shared" si="9"/>
        <v>0</v>
      </c>
      <c r="N111" s="3"/>
      <c r="O111" s="557">
        <f t="shared" si="7"/>
        <v>0</v>
      </c>
      <c r="Q111" s="543"/>
      <c r="S111" s="557">
        <f t="shared" si="8"/>
        <v>0</v>
      </c>
    </row>
    <row r="112" spans="2:19" s="496" customFormat="1" ht="12" hidden="1">
      <c r="B112" s="561">
        <v>100</v>
      </c>
      <c r="C112" s="572"/>
      <c r="D112" s="541"/>
      <c r="E112" s="541"/>
      <c r="F112" s="543"/>
      <c r="G112" s="36">
        <f t="shared" si="5"/>
        <v>0</v>
      </c>
      <c r="H112" s="554">
        <f>IF(Consolidado_Geral!$G$133=7.6%,-(0.0165+0.076)*F112,0)</f>
        <v>0</v>
      </c>
      <c r="I112" s="36">
        <f t="shared" si="6"/>
        <v>0</v>
      </c>
      <c r="J112" s="574"/>
      <c r="K112" s="549"/>
      <c r="M112" s="557">
        <f t="shared" si="9"/>
        <v>0</v>
      </c>
      <c r="N112" s="3"/>
      <c r="O112" s="557">
        <f t="shared" si="7"/>
        <v>0</v>
      </c>
      <c r="Q112" s="543"/>
      <c r="S112" s="557">
        <f t="shared" si="8"/>
        <v>0</v>
      </c>
    </row>
    <row r="113" spans="2:19" s="496" customFormat="1" ht="12" hidden="1">
      <c r="B113" s="561">
        <v>101</v>
      </c>
      <c r="C113" s="572"/>
      <c r="D113" s="541"/>
      <c r="E113" s="541"/>
      <c r="F113" s="543"/>
      <c r="G113" s="36">
        <f t="shared" si="5"/>
        <v>0</v>
      </c>
      <c r="H113" s="554">
        <f>IF(Consolidado_Geral!$G$133=7.6%,-(0.0165+0.076)*F113,0)</f>
        <v>0</v>
      </c>
      <c r="I113" s="36">
        <f t="shared" si="6"/>
        <v>0</v>
      </c>
      <c r="J113" s="574"/>
      <c r="K113" s="549"/>
      <c r="M113" s="557">
        <f t="shared" si="9"/>
        <v>0</v>
      </c>
      <c r="N113" s="3"/>
      <c r="O113" s="557">
        <f t="shared" si="7"/>
        <v>0</v>
      </c>
      <c r="Q113" s="543"/>
      <c r="S113" s="557">
        <f t="shared" si="8"/>
        <v>0</v>
      </c>
    </row>
    <row r="114" spans="2:19" s="496" customFormat="1" ht="12" hidden="1">
      <c r="B114" s="561">
        <v>102</v>
      </c>
      <c r="C114" s="572"/>
      <c r="D114" s="541"/>
      <c r="E114" s="541"/>
      <c r="F114" s="543"/>
      <c r="G114" s="36">
        <f t="shared" si="5"/>
        <v>0</v>
      </c>
      <c r="H114" s="554">
        <f>IF(Consolidado_Geral!$G$133=7.6%,-(0.0165+0.076)*F114,0)</f>
        <v>0</v>
      </c>
      <c r="I114" s="36">
        <f t="shared" si="6"/>
        <v>0</v>
      </c>
      <c r="J114" s="574"/>
      <c r="K114" s="549"/>
      <c r="M114" s="557">
        <f t="shared" si="9"/>
        <v>0</v>
      </c>
      <c r="N114" s="3"/>
      <c r="O114" s="557">
        <f t="shared" si="7"/>
        <v>0</v>
      </c>
      <c r="Q114" s="543"/>
      <c r="S114" s="557">
        <f t="shared" si="8"/>
        <v>0</v>
      </c>
    </row>
    <row r="115" spans="2:19" s="496" customFormat="1" ht="12" hidden="1">
      <c r="B115" s="561">
        <v>103</v>
      </c>
      <c r="C115" s="572"/>
      <c r="D115" s="541"/>
      <c r="E115" s="541"/>
      <c r="F115" s="543"/>
      <c r="G115" s="36">
        <f t="shared" si="5"/>
        <v>0</v>
      </c>
      <c r="H115" s="554">
        <f>IF(Consolidado_Geral!$G$133=7.6%,-(0.0165+0.076)*F115,0)</f>
        <v>0</v>
      </c>
      <c r="I115" s="36">
        <f t="shared" si="6"/>
        <v>0</v>
      </c>
      <c r="J115" s="574"/>
      <c r="K115" s="549"/>
      <c r="M115" s="557">
        <f t="shared" si="9"/>
        <v>0</v>
      </c>
      <c r="N115" s="3"/>
      <c r="O115" s="557">
        <f t="shared" si="7"/>
        <v>0</v>
      </c>
      <c r="Q115" s="543"/>
      <c r="S115" s="557">
        <f t="shared" si="8"/>
        <v>0</v>
      </c>
    </row>
    <row r="116" spans="2:19" s="496" customFormat="1" ht="12" hidden="1">
      <c r="B116" s="561">
        <v>104</v>
      </c>
      <c r="C116" s="572"/>
      <c r="D116" s="541"/>
      <c r="E116" s="541"/>
      <c r="F116" s="543"/>
      <c r="G116" s="36">
        <f t="shared" si="5"/>
        <v>0</v>
      </c>
      <c r="H116" s="554">
        <f>IF(Consolidado_Geral!$G$133=7.6%,-(0.0165+0.076)*F116,0)</f>
        <v>0</v>
      </c>
      <c r="I116" s="36">
        <f t="shared" si="6"/>
        <v>0</v>
      </c>
      <c r="J116" s="574"/>
      <c r="K116" s="549"/>
      <c r="M116" s="557">
        <f t="shared" si="9"/>
        <v>0</v>
      </c>
      <c r="N116" s="3"/>
      <c r="O116" s="557">
        <f t="shared" si="7"/>
        <v>0</v>
      </c>
      <c r="Q116" s="543"/>
      <c r="S116" s="557">
        <f t="shared" si="8"/>
        <v>0</v>
      </c>
    </row>
    <row r="117" spans="2:19" s="496" customFormat="1" ht="12" hidden="1">
      <c r="B117" s="561">
        <v>105</v>
      </c>
      <c r="C117" s="572"/>
      <c r="D117" s="541"/>
      <c r="E117" s="541"/>
      <c r="F117" s="543"/>
      <c r="G117" s="36">
        <f t="shared" si="5"/>
        <v>0</v>
      </c>
      <c r="H117" s="554">
        <f>IF(Consolidado_Geral!$G$133=7.6%,-(0.0165+0.076)*F117,0)</f>
        <v>0</v>
      </c>
      <c r="I117" s="36">
        <f t="shared" si="6"/>
        <v>0</v>
      </c>
      <c r="J117" s="574"/>
      <c r="K117" s="549"/>
      <c r="M117" s="557">
        <f t="shared" si="9"/>
        <v>0</v>
      </c>
      <c r="N117" s="3"/>
      <c r="O117" s="557">
        <f t="shared" si="7"/>
        <v>0</v>
      </c>
      <c r="Q117" s="543"/>
      <c r="S117" s="557">
        <f t="shared" si="8"/>
        <v>0</v>
      </c>
    </row>
    <row r="118" spans="2:19" s="496" customFormat="1" ht="12" hidden="1">
      <c r="B118" s="561">
        <v>106</v>
      </c>
      <c r="C118" s="572"/>
      <c r="D118" s="541"/>
      <c r="E118" s="541"/>
      <c r="F118" s="543"/>
      <c r="G118" s="36">
        <f t="shared" si="5"/>
        <v>0</v>
      </c>
      <c r="H118" s="554">
        <f>IF(Consolidado_Geral!$G$133=7.6%,-(0.0165+0.076)*F118,0)</f>
        <v>0</v>
      </c>
      <c r="I118" s="36">
        <f t="shared" si="6"/>
        <v>0</v>
      </c>
      <c r="J118" s="574"/>
      <c r="K118" s="549"/>
      <c r="M118" s="557">
        <f t="shared" si="9"/>
        <v>0</v>
      </c>
      <c r="N118" s="3"/>
      <c r="O118" s="557">
        <f t="shared" si="7"/>
        <v>0</v>
      </c>
      <c r="Q118" s="543"/>
      <c r="S118" s="557">
        <f t="shared" si="8"/>
        <v>0</v>
      </c>
    </row>
    <row r="119" spans="2:19" s="496" customFormat="1" ht="12" hidden="1">
      <c r="B119" s="561">
        <v>107</v>
      </c>
      <c r="C119" s="572"/>
      <c r="D119" s="541"/>
      <c r="E119" s="541"/>
      <c r="F119" s="543"/>
      <c r="G119" s="36">
        <f t="shared" si="5"/>
        <v>0</v>
      </c>
      <c r="H119" s="554">
        <f>IF(Consolidado_Geral!$G$133=7.6%,-(0.0165+0.076)*F119,0)</f>
        <v>0</v>
      </c>
      <c r="I119" s="36">
        <f t="shared" si="6"/>
        <v>0</v>
      </c>
      <c r="J119" s="574"/>
      <c r="K119" s="549"/>
      <c r="M119" s="557">
        <f t="shared" si="9"/>
        <v>0</v>
      </c>
      <c r="N119" s="3"/>
      <c r="O119" s="557">
        <f t="shared" si="7"/>
        <v>0</v>
      </c>
      <c r="Q119" s="543"/>
      <c r="S119" s="557">
        <f t="shared" si="8"/>
        <v>0</v>
      </c>
    </row>
    <row r="120" spans="2:19" s="496" customFormat="1" ht="12" hidden="1">
      <c r="B120" s="561">
        <v>108</v>
      </c>
      <c r="C120" s="572"/>
      <c r="D120" s="541"/>
      <c r="E120" s="541"/>
      <c r="F120" s="543"/>
      <c r="G120" s="36">
        <f t="shared" si="5"/>
        <v>0</v>
      </c>
      <c r="H120" s="554">
        <f>IF(Consolidado_Geral!$G$133=7.6%,-(0.0165+0.076)*F120,0)</f>
        <v>0</v>
      </c>
      <c r="I120" s="36">
        <f t="shared" si="6"/>
        <v>0</v>
      </c>
      <c r="J120" s="574"/>
      <c r="K120" s="549"/>
      <c r="M120" s="557">
        <f t="shared" si="9"/>
        <v>0</v>
      </c>
      <c r="N120" s="3"/>
      <c r="O120" s="557">
        <f t="shared" si="7"/>
        <v>0</v>
      </c>
      <c r="Q120" s="543"/>
      <c r="S120" s="557">
        <f t="shared" si="8"/>
        <v>0</v>
      </c>
    </row>
    <row r="121" spans="2:19" s="496" customFormat="1" ht="12" hidden="1">
      <c r="B121" s="561">
        <v>109</v>
      </c>
      <c r="C121" s="572"/>
      <c r="D121" s="541"/>
      <c r="E121" s="541"/>
      <c r="F121" s="543"/>
      <c r="G121" s="36">
        <f t="shared" si="5"/>
        <v>0</v>
      </c>
      <c r="H121" s="554">
        <f>IF(Consolidado_Geral!$G$133=7.6%,-(0.0165+0.076)*F121,0)</f>
        <v>0</v>
      </c>
      <c r="I121" s="36">
        <f t="shared" si="6"/>
        <v>0</v>
      </c>
      <c r="J121" s="574"/>
      <c r="K121" s="549"/>
      <c r="M121" s="557">
        <f t="shared" si="9"/>
        <v>0</v>
      </c>
      <c r="N121" s="3"/>
      <c r="O121" s="557">
        <f t="shared" si="7"/>
        <v>0</v>
      </c>
      <c r="Q121" s="543"/>
      <c r="S121" s="557">
        <f t="shared" si="8"/>
        <v>0</v>
      </c>
    </row>
    <row r="122" spans="2:19" s="496" customFormat="1" ht="12" hidden="1">
      <c r="B122" s="561">
        <v>110</v>
      </c>
      <c r="C122" s="572"/>
      <c r="D122" s="541"/>
      <c r="E122" s="541"/>
      <c r="F122" s="543"/>
      <c r="G122" s="36">
        <f t="shared" si="5"/>
        <v>0</v>
      </c>
      <c r="H122" s="554">
        <f>IF(Consolidado_Geral!$G$133=7.6%,-(0.0165+0.076)*F122,0)</f>
        <v>0</v>
      </c>
      <c r="I122" s="36">
        <f t="shared" si="6"/>
        <v>0</v>
      </c>
      <c r="J122" s="574"/>
      <c r="K122" s="549"/>
      <c r="M122" s="557">
        <f t="shared" si="9"/>
        <v>0</v>
      </c>
      <c r="N122" s="3"/>
      <c r="O122" s="557">
        <f t="shared" si="7"/>
        <v>0</v>
      </c>
      <c r="Q122" s="543"/>
      <c r="S122" s="557">
        <f t="shared" si="8"/>
        <v>0</v>
      </c>
    </row>
    <row r="123" spans="2:19" s="496" customFormat="1" ht="12" hidden="1">
      <c r="B123" s="561">
        <v>111</v>
      </c>
      <c r="C123" s="572"/>
      <c r="D123" s="541"/>
      <c r="E123" s="541"/>
      <c r="F123" s="543"/>
      <c r="G123" s="36">
        <f t="shared" si="5"/>
        <v>0</v>
      </c>
      <c r="H123" s="554">
        <f>IF(Consolidado_Geral!$G$133=7.6%,-(0.0165+0.076)*F123,0)</f>
        <v>0</v>
      </c>
      <c r="I123" s="36">
        <f t="shared" si="6"/>
        <v>0</v>
      </c>
      <c r="J123" s="574"/>
      <c r="K123" s="549"/>
      <c r="M123" s="557">
        <f t="shared" si="9"/>
        <v>0</v>
      </c>
      <c r="N123" s="3"/>
      <c r="O123" s="557">
        <f t="shared" si="7"/>
        <v>0</v>
      </c>
      <c r="Q123" s="543"/>
      <c r="S123" s="557">
        <f t="shared" si="8"/>
        <v>0</v>
      </c>
    </row>
    <row r="124" spans="2:19" s="496" customFormat="1" ht="12" hidden="1">
      <c r="B124" s="561">
        <v>112</v>
      </c>
      <c r="C124" s="572"/>
      <c r="D124" s="541"/>
      <c r="E124" s="541"/>
      <c r="F124" s="543"/>
      <c r="G124" s="36">
        <f t="shared" si="5"/>
        <v>0</v>
      </c>
      <c r="H124" s="554">
        <f>IF(Consolidado_Geral!$G$133=7.6%,-(0.0165+0.076)*F124,0)</f>
        <v>0</v>
      </c>
      <c r="I124" s="36">
        <f t="shared" si="6"/>
        <v>0</v>
      </c>
      <c r="J124" s="574"/>
      <c r="K124" s="549"/>
      <c r="M124" s="557">
        <f t="shared" si="9"/>
        <v>0</v>
      </c>
      <c r="N124" s="3"/>
      <c r="O124" s="557">
        <f t="shared" si="7"/>
        <v>0</v>
      </c>
      <c r="Q124" s="543"/>
      <c r="S124" s="557">
        <f t="shared" si="8"/>
        <v>0</v>
      </c>
    </row>
    <row r="125" spans="2:19" s="496" customFormat="1" ht="12" hidden="1">
      <c r="B125" s="561">
        <v>113</v>
      </c>
      <c r="C125" s="572"/>
      <c r="D125" s="541"/>
      <c r="E125" s="541"/>
      <c r="F125" s="543"/>
      <c r="G125" s="36">
        <f t="shared" si="5"/>
        <v>0</v>
      </c>
      <c r="H125" s="554">
        <f>IF(Consolidado_Geral!$G$133=7.6%,-(0.0165+0.076)*F125,0)</f>
        <v>0</v>
      </c>
      <c r="I125" s="36">
        <f t="shared" si="6"/>
        <v>0</v>
      </c>
      <c r="J125" s="574"/>
      <c r="K125" s="549"/>
      <c r="M125" s="557">
        <f t="shared" si="9"/>
        <v>0</v>
      </c>
      <c r="N125" s="3"/>
      <c r="O125" s="557">
        <f t="shared" si="7"/>
        <v>0</v>
      </c>
      <c r="Q125" s="543"/>
      <c r="S125" s="557">
        <f t="shared" si="8"/>
        <v>0</v>
      </c>
    </row>
    <row r="126" spans="2:19" s="496" customFormat="1" ht="12" hidden="1">
      <c r="B126" s="561">
        <v>114</v>
      </c>
      <c r="C126" s="572"/>
      <c r="D126" s="541"/>
      <c r="E126" s="541"/>
      <c r="F126" s="543"/>
      <c r="G126" s="36">
        <f t="shared" si="5"/>
        <v>0</v>
      </c>
      <c r="H126" s="554">
        <f>IF(Consolidado_Geral!$G$133=7.6%,-(0.0165+0.076)*F126,0)</f>
        <v>0</v>
      </c>
      <c r="I126" s="36">
        <f t="shared" si="6"/>
        <v>0</v>
      </c>
      <c r="J126" s="574"/>
      <c r="K126" s="549"/>
      <c r="M126" s="557">
        <f t="shared" si="9"/>
        <v>0</v>
      </c>
      <c r="N126" s="3"/>
      <c r="O126" s="557">
        <f t="shared" si="7"/>
        <v>0</v>
      </c>
      <c r="Q126" s="543"/>
      <c r="S126" s="557">
        <f t="shared" si="8"/>
        <v>0</v>
      </c>
    </row>
    <row r="127" spans="2:19" s="496" customFormat="1" ht="12" hidden="1">
      <c r="B127" s="561">
        <v>115</v>
      </c>
      <c r="C127" s="572"/>
      <c r="D127" s="541"/>
      <c r="E127" s="541"/>
      <c r="F127" s="543"/>
      <c r="G127" s="36">
        <f t="shared" si="5"/>
        <v>0</v>
      </c>
      <c r="H127" s="554">
        <f>IF(Consolidado_Geral!$G$133=7.6%,-(0.0165+0.076)*F127,0)</f>
        <v>0</v>
      </c>
      <c r="I127" s="36">
        <f t="shared" si="6"/>
        <v>0</v>
      </c>
      <c r="J127" s="574"/>
      <c r="K127" s="549"/>
      <c r="M127" s="557">
        <f t="shared" si="9"/>
        <v>0</v>
      </c>
      <c r="N127" s="3"/>
      <c r="O127" s="557">
        <f t="shared" si="7"/>
        <v>0</v>
      </c>
      <c r="Q127" s="543"/>
      <c r="S127" s="557">
        <f t="shared" si="8"/>
        <v>0</v>
      </c>
    </row>
    <row r="128" spans="2:19" s="496" customFormat="1" ht="12" hidden="1">
      <c r="B128" s="561">
        <v>116</v>
      </c>
      <c r="C128" s="572"/>
      <c r="D128" s="541"/>
      <c r="E128" s="541"/>
      <c r="F128" s="543"/>
      <c r="G128" s="36">
        <f t="shared" si="5"/>
        <v>0</v>
      </c>
      <c r="H128" s="554">
        <f>IF(Consolidado_Geral!$G$133=7.6%,-(0.0165+0.076)*F128,0)</f>
        <v>0</v>
      </c>
      <c r="I128" s="36">
        <f t="shared" si="6"/>
        <v>0</v>
      </c>
      <c r="J128" s="574"/>
      <c r="K128" s="549"/>
      <c r="M128" s="557">
        <f t="shared" si="9"/>
        <v>0</v>
      </c>
      <c r="N128" s="3"/>
      <c r="O128" s="557">
        <f t="shared" si="7"/>
        <v>0</v>
      </c>
      <c r="Q128" s="543"/>
      <c r="S128" s="557">
        <f t="shared" si="8"/>
        <v>0</v>
      </c>
    </row>
    <row r="129" spans="2:19" s="496" customFormat="1" ht="12" hidden="1">
      <c r="B129" s="561">
        <v>117</v>
      </c>
      <c r="C129" s="572"/>
      <c r="D129" s="541"/>
      <c r="E129" s="541"/>
      <c r="F129" s="543"/>
      <c r="G129" s="36">
        <f t="shared" si="5"/>
        <v>0</v>
      </c>
      <c r="H129" s="554">
        <f>IF(Consolidado_Geral!$G$133=7.6%,-(0.0165+0.076)*F129,0)</f>
        <v>0</v>
      </c>
      <c r="I129" s="36">
        <f t="shared" si="6"/>
        <v>0</v>
      </c>
      <c r="J129" s="574"/>
      <c r="K129" s="549"/>
      <c r="M129" s="557">
        <f t="shared" si="9"/>
        <v>0</v>
      </c>
      <c r="N129" s="3"/>
      <c r="O129" s="557">
        <f t="shared" si="7"/>
        <v>0</v>
      </c>
      <c r="Q129" s="543"/>
      <c r="S129" s="557">
        <f t="shared" si="8"/>
        <v>0</v>
      </c>
    </row>
    <row r="130" spans="2:19" s="496" customFormat="1" ht="12" hidden="1">
      <c r="B130" s="561">
        <v>118</v>
      </c>
      <c r="C130" s="572"/>
      <c r="D130" s="541"/>
      <c r="E130" s="541"/>
      <c r="F130" s="543"/>
      <c r="G130" s="36">
        <f t="shared" si="5"/>
        <v>0</v>
      </c>
      <c r="H130" s="554">
        <f>IF(Consolidado_Geral!$G$133=7.6%,-(0.0165+0.076)*F130,0)</f>
        <v>0</v>
      </c>
      <c r="I130" s="36">
        <f t="shared" si="6"/>
        <v>0</v>
      </c>
      <c r="J130" s="574"/>
      <c r="K130" s="549"/>
      <c r="M130" s="557">
        <f t="shared" si="9"/>
        <v>0</v>
      </c>
      <c r="N130" s="3"/>
      <c r="O130" s="557">
        <f t="shared" si="7"/>
        <v>0</v>
      </c>
      <c r="Q130" s="543"/>
      <c r="S130" s="557">
        <f t="shared" si="8"/>
        <v>0</v>
      </c>
    </row>
    <row r="131" spans="2:19" s="496" customFormat="1" ht="12" hidden="1">
      <c r="B131" s="561">
        <v>119</v>
      </c>
      <c r="C131" s="572"/>
      <c r="D131" s="541"/>
      <c r="E131" s="541"/>
      <c r="F131" s="543"/>
      <c r="G131" s="36">
        <f t="shared" si="5"/>
        <v>0</v>
      </c>
      <c r="H131" s="554">
        <f>IF(Consolidado_Geral!$G$133=7.6%,-(0.0165+0.076)*F131,0)</f>
        <v>0</v>
      </c>
      <c r="I131" s="36">
        <f t="shared" si="6"/>
        <v>0</v>
      </c>
      <c r="J131" s="574"/>
      <c r="K131" s="549"/>
      <c r="M131" s="557">
        <f t="shared" si="9"/>
        <v>0</v>
      </c>
      <c r="N131" s="3"/>
      <c r="O131" s="557">
        <f t="shared" si="7"/>
        <v>0</v>
      </c>
      <c r="Q131" s="543"/>
      <c r="S131" s="557">
        <f t="shared" si="8"/>
        <v>0</v>
      </c>
    </row>
    <row r="132" spans="2:19" s="496" customFormat="1" ht="12" hidden="1">
      <c r="B132" s="561">
        <v>120</v>
      </c>
      <c r="C132" s="572"/>
      <c r="D132" s="541"/>
      <c r="E132" s="541"/>
      <c r="F132" s="543"/>
      <c r="G132" s="36">
        <f t="shared" si="5"/>
        <v>0</v>
      </c>
      <c r="H132" s="554">
        <f>IF(Consolidado_Geral!$G$133=7.6%,-(0.0165+0.076)*F132,0)</f>
        <v>0</v>
      </c>
      <c r="I132" s="36">
        <f t="shared" si="6"/>
        <v>0</v>
      </c>
      <c r="J132" s="574"/>
      <c r="K132" s="549"/>
      <c r="M132" s="557">
        <f t="shared" si="9"/>
        <v>0</v>
      </c>
      <c r="N132" s="3"/>
      <c r="O132" s="557">
        <f t="shared" si="7"/>
        <v>0</v>
      </c>
      <c r="Q132" s="543"/>
      <c r="S132" s="557">
        <f t="shared" si="8"/>
        <v>0</v>
      </c>
    </row>
    <row r="133" spans="2:19" s="496" customFormat="1" ht="12" hidden="1">
      <c r="B133" s="561">
        <v>121</v>
      </c>
      <c r="C133" s="572"/>
      <c r="D133" s="541"/>
      <c r="E133" s="541"/>
      <c r="F133" s="543"/>
      <c r="G133" s="36">
        <f t="shared" si="5"/>
        <v>0</v>
      </c>
      <c r="H133" s="554">
        <f>IF(Consolidado_Geral!$G$133=7.6%,-(0.0165+0.076)*F133,0)</f>
        <v>0</v>
      </c>
      <c r="I133" s="36">
        <f t="shared" si="6"/>
        <v>0</v>
      </c>
      <c r="J133" s="574"/>
      <c r="K133" s="549"/>
      <c r="M133" s="557">
        <f t="shared" si="9"/>
        <v>0</v>
      </c>
      <c r="N133" s="3"/>
      <c r="O133" s="557">
        <f t="shared" si="7"/>
        <v>0</v>
      </c>
      <c r="Q133" s="543"/>
      <c r="S133" s="557">
        <f t="shared" si="8"/>
        <v>0</v>
      </c>
    </row>
    <row r="134" spans="2:19" s="496" customFormat="1" ht="12" hidden="1">
      <c r="B134" s="561">
        <v>122</v>
      </c>
      <c r="C134" s="572"/>
      <c r="D134" s="541"/>
      <c r="E134" s="541"/>
      <c r="F134" s="543"/>
      <c r="G134" s="36">
        <f t="shared" si="5"/>
        <v>0</v>
      </c>
      <c r="H134" s="554">
        <f>IF(Consolidado_Geral!$G$133=7.6%,-(0.0165+0.076)*F134,0)</f>
        <v>0</v>
      </c>
      <c r="I134" s="36">
        <f t="shared" si="6"/>
        <v>0</v>
      </c>
      <c r="J134" s="574"/>
      <c r="K134" s="549"/>
      <c r="M134" s="557">
        <f t="shared" si="9"/>
        <v>0</v>
      </c>
      <c r="N134" s="3"/>
      <c r="O134" s="557">
        <f t="shared" si="7"/>
        <v>0</v>
      </c>
      <c r="Q134" s="543"/>
      <c r="S134" s="557">
        <f t="shared" si="8"/>
        <v>0</v>
      </c>
    </row>
    <row r="135" spans="2:19" s="496" customFormat="1" ht="12" hidden="1">
      <c r="B135" s="561">
        <v>123</v>
      </c>
      <c r="C135" s="572"/>
      <c r="D135" s="541"/>
      <c r="E135" s="541"/>
      <c r="F135" s="543"/>
      <c r="G135" s="36">
        <f t="shared" si="5"/>
        <v>0</v>
      </c>
      <c r="H135" s="554">
        <f>IF(Consolidado_Geral!$G$133=7.6%,-(0.0165+0.076)*F135,0)</f>
        <v>0</v>
      </c>
      <c r="I135" s="36">
        <f t="shared" si="6"/>
        <v>0</v>
      </c>
      <c r="J135" s="574"/>
      <c r="K135" s="549"/>
      <c r="M135" s="557">
        <f t="shared" si="9"/>
        <v>0</v>
      </c>
      <c r="N135" s="3"/>
      <c r="O135" s="557">
        <f t="shared" si="7"/>
        <v>0</v>
      </c>
      <c r="Q135" s="543"/>
      <c r="S135" s="557">
        <f t="shared" si="8"/>
        <v>0</v>
      </c>
    </row>
    <row r="136" spans="2:19" s="496" customFormat="1" ht="12" hidden="1">
      <c r="B136" s="561">
        <v>124</v>
      </c>
      <c r="C136" s="572"/>
      <c r="D136" s="541"/>
      <c r="E136" s="541"/>
      <c r="F136" s="543"/>
      <c r="G136" s="36">
        <f t="shared" si="5"/>
        <v>0</v>
      </c>
      <c r="H136" s="554">
        <f>IF(Consolidado_Geral!$G$133=7.6%,-(0.0165+0.076)*F136,0)</f>
        <v>0</v>
      </c>
      <c r="I136" s="36">
        <f t="shared" si="6"/>
        <v>0</v>
      </c>
      <c r="J136" s="574"/>
      <c r="K136" s="549"/>
      <c r="M136" s="557">
        <f t="shared" si="9"/>
        <v>0</v>
      </c>
      <c r="N136" s="3"/>
      <c r="O136" s="557">
        <f t="shared" si="7"/>
        <v>0</v>
      </c>
      <c r="Q136" s="543"/>
      <c r="S136" s="557">
        <f t="shared" si="8"/>
        <v>0</v>
      </c>
    </row>
    <row r="137" spans="2:19" s="496" customFormat="1" ht="12" hidden="1">
      <c r="B137" s="561">
        <v>125</v>
      </c>
      <c r="C137" s="572"/>
      <c r="D137" s="541"/>
      <c r="E137" s="541"/>
      <c r="F137" s="543"/>
      <c r="G137" s="36">
        <f t="shared" si="5"/>
        <v>0</v>
      </c>
      <c r="H137" s="554">
        <f>IF(Consolidado_Geral!$G$133=7.6%,-(0.0165+0.076)*F137,0)</f>
        <v>0</v>
      </c>
      <c r="I137" s="36">
        <f t="shared" si="6"/>
        <v>0</v>
      </c>
      <c r="J137" s="574"/>
      <c r="K137" s="549"/>
      <c r="M137" s="557">
        <f t="shared" si="9"/>
        <v>0</v>
      </c>
      <c r="N137" s="3"/>
      <c r="O137" s="557">
        <f t="shared" si="7"/>
        <v>0</v>
      </c>
      <c r="Q137" s="543"/>
      <c r="S137" s="557">
        <f t="shared" si="8"/>
        <v>0</v>
      </c>
    </row>
    <row r="138" spans="2:19" s="496" customFormat="1" ht="12" hidden="1">
      <c r="B138" s="561">
        <v>126</v>
      </c>
      <c r="C138" s="572"/>
      <c r="D138" s="541"/>
      <c r="E138" s="541"/>
      <c r="F138" s="543"/>
      <c r="G138" s="36">
        <f t="shared" si="5"/>
        <v>0</v>
      </c>
      <c r="H138" s="554">
        <f>IF(Consolidado_Geral!$G$133=7.6%,-(0.0165+0.076)*F138,0)</f>
        <v>0</v>
      </c>
      <c r="I138" s="36">
        <f t="shared" si="6"/>
        <v>0</v>
      </c>
      <c r="J138" s="574"/>
      <c r="K138" s="549"/>
      <c r="M138" s="557">
        <f t="shared" si="9"/>
        <v>0</v>
      </c>
      <c r="N138" s="3"/>
      <c r="O138" s="557">
        <f t="shared" si="7"/>
        <v>0</v>
      </c>
      <c r="Q138" s="543"/>
      <c r="S138" s="557">
        <f t="shared" si="8"/>
        <v>0</v>
      </c>
    </row>
    <row r="139" spans="2:19" s="496" customFormat="1" ht="12" hidden="1">
      <c r="B139" s="561">
        <v>127</v>
      </c>
      <c r="C139" s="572"/>
      <c r="D139" s="541"/>
      <c r="E139" s="541"/>
      <c r="F139" s="543"/>
      <c r="G139" s="36">
        <f t="shared" si="5"/>
        <v>0</v>
      </c>
      <c r="H139" s="554">
        <f>IF(Consolidado_Geral!$G$133=7.6%,-(0.0165+0.076)*F139,0)</f>
        <v>0</v>
      </c>
      <c r="I139" s="36">
        <f t="shared" si="6"/>
        <v>0</v>
      </c>
      <c r="J139" s="574"/>
      <c r="K139" s="549"/>
      <c r="M139" s="557">
        <f t="shared" si="9"/>
        <v>0</v>
      </c>
      <c r="N139" s="3"/>
      <c r="O139" s="557">
        <f t="shared" si="7"/>
        <v>0</v>
      </c>
      <c r="Q139" s="543"/>
      <c r="S139" s="557">
        <f t="shared" si="8"/>
        <v>0</v>
      </c>
    </row>
    <row r="140" spans="2:19" s="496" customFormat="1" ht="12" hidden="1">
      <c r="B140" s="561">
        <v>128</v>
      </c>
      <c r="C140" s="572"/>
      <c r="D140" s="541"/>
      <c r="E140" s="541"/>
      <c r="F140" s="543"/>
      <c r="G140" s="36">
        <f t="shared" si="5"/>
        <v>0</v>
      </c>
      <c r="H140" s="554">
        <f>IF(Consolidado_Geral!$G$133=7.6%,-(0.0165+0.076)*F140,0)</f>
        <v>0</v>
      </c>
      <c r="I140" s="36">
        <f t="shared" si="6"/>
        <v>0</v>
      </c>
      <c r="J140" s="574"/>
      <c r="K140" s="549"/>
      <c r="M140" s="557">
        <f t="shared" si="9"/>
        <v>0</v>
      </c>
      <c r="N140" s="3"/>
      <c r="O140" s="557">
        <f t="shared" si="7"/>
        <v>0</v>
      </c>
      <c r="Q140" s="543"/>
      <c r="S140" s="557">
        <f t="shared" si="8"/>
        <v>0</v>
      </c>
    </row>
    <row r="141" spans="2:19" s="496" customFormat="1" ht="12" hidden="1">
      <c r="B141" s="561">
        <v>129</v>
      </c>
      <c r="C141" s="572"/>
      <c r="D141" s="541"/>
      <c r="E141" s="541"/>
      <c r="F141" s="543"/>
      <c r="G141" s="36">
        <f t="shared" ref="G141:G204" si="10">F141*E141</f>
        <v>0</v>
      </c>
      <c r="H141" s="554">
        <f>IF(Consolidado_Geral!$G$133=7.6%,-(0.0165+0.076)*F141,0)</f>
        <v>0</v>
      </c>
      <c r="I141" s="36">
        <f t="shared" ref="I141:I204" si="11">H141*E141</f>
        <v>0</v>
      </c>
      <c r="J141" s="574"/>
      <c r="K141" s="549"/>
      <c r="M141" s="557">
        <f t="shared" si="9"/>
        <v>0</v>
      </c>
      <c r="N141" s="3"/>
      <c r="O141" s="557">
        <f t="shared" ref="O141:O204" si="12">IF(E141=0,0,(M141/K141)*E141)</f>
        <v>0</v>
      </c>
      <c r="Q141" s="543"/>
      <c r="S141" s="557">
        <f t="shared" ref="S141:S204" si="13">Q141*E141</f>
        <v>0</v>
      </c>
    </row>
    <row r="142" spans="2:19" s="496" customFormat="1" ht="12" hidden="1">
      <c r="B142" s="561">
        <v>130</v>
      </c>
      <c r="C142" s="572"/>
      <c r="D142" s="541"/>
      <c r="E142" s="541"/>
      <c r="F142" s="543"/>
      <c r="G142" s="36">
        <f t="shared" si="10"/>
        <v>0</v>
      </c>
      <c r="H142" s="554">
        <f>IF(Consolidado_Geral!$G$133=7.6%,-(0.0165+0.076)*F142,0)</f>
        <v>0</v>
      </c>
      <c r="I142" s="36">
        <f t="shared" si="11"/>
        <v>0</v>
      </c>
      <c r="J142" s="574"/>
      <c r="K142" s="549"/>
      <c r="M142" s="557">
        <f t="shared" ref="M142:M205" si="14">IF(E142&gt;0,(F142+H142)-J142,0)</f>
        <v>0</v>
      </c>
      <c r="N142" s="3"/>
      <c r="O142" s="557">
        <f t="shared" si="12"/>
        <v>0</v>
      </c>
      <c r="Q142" s="543"/>
      <c r="S142" s="557">
        <f t="shared" si="13"/>
        <v>0</v>
      </c>
    </row>
    <row r="143" spans="2:19" s="496" customFormat="1" ht="12" hidden="1">
      <c r="B143" s="561">
        <v>131</v>
      </c>
      <c r="C143" s="572"/>
      <c r="D143" s="541"/>
      <c r="E143" s="541"/>
      <c r="F143" s="543"/>
      <c r="G143" s="36">
        <f t="shared" si="10"/>
        <v>0</v>
      </c>
      <c r="H143" s="554">
        <f>IF(Consolidado_Geral!$G$133=7.6%,-(0.0165+0.076)*F143,0)</f>
        <v>0</v>
      </c>
      <c r="I143" s="36">
        <f t="shared" si="11"/>
        <v>0</v>
      </c>
      <c r="J143" s="574"/>
      <c r="K143" s="549"/>
      <c r="M143" s="557">
        <f t="shared" si="14"/>
        <v>0</v>
      </c>
      <c r="N143" s="3"/>
      <c r="O143" s="557">
        <f t="shared" si="12"/>
        <v>0</v>
      </c>
      <c r="Q143" s="543"/>
      <c r="S143" s="557">
        <f t="shared" si="13"/>
        <v>0</v>
      </c>
    </row>
    <row r="144" spans="2:19" s="496" customFormat="1" ht="12" hidden="1">
      <c r="B144" s="561">
        <v>132</v>
      </c>
      <c r="C144" s="572"/>
      <c r="D144" s="541"/>
      <c r="E144" s="541"/>
      <c r="F144" s="543"/>
      <c r="G144" s="36">
        <f t="shared" si="10"/>
        <v>0</v>
      </c>
      <c r="H144" s="554">
        <f>IF(Consolidado_Geral!$G$133=7.6%,-(0.0165+0.076)*F144,0)</f>
        <v>0</v>
      </c>
      <c r="I144" s="36">
        <f t="shared" si="11"/>
        <v>0</v>
      </c>
      <c r="J144" s="574"/>
      <c r="K144" s="549"/>
      <c r="M144" s="557">
        <f t="shared" si="14"/>
        <v>0</v>
      </c>
      <c r="N144" s="3"/>
      <c r="O144" s="557">
        <f t="shared" si="12"/>
        <v>0</v>
      </c>
      <c r="Q144" s="543"/>
      <c r="S144" s="557">
        <f t="shared" si="13"/>
        <v>0</v>
      </c>
    </row>
    <row r="145" spans="2:19" s="496" customFormat="1" ht="12" hidden="1">
      <c r="B145" s="561">
        <v>133</v>
      </c>
      <c r="C145" s="572"/>
      <c r="D145" s="541"/>
      <c r="E145" s="541"/>
      <c r="F145" s="543"/>
      <c r="G145" s="36">
        <f t="shared" si="10"/>
        <v>0</v>
      </c>
      <c r="H145" s="554">
        <f>IF(Consolidado_Geral!$G$133=7.6%,-(0.0165+0.076)*F145,0)</f>
        <v>0</v>
      </c>
      <c r="I145" s="36">
        <f t="shared" si="11"/>
        <v>0</v>
      </c>
      <c r="J145" s="574"/>
      <c r="K145" s="549"/>
      <c r="M145" s="557">
        <f t="shared" si="14"/>
        <v>0</v>
      </c>
      <c r="N145" s="3"/>
      <c r="O145" s="557">
        <f t="shared" si="12"/>
        <v>0</v>
      </c>
      <c r="Q145" s="543"/>
      <c r="S145" s="557">
        <f t="shared" si="13"/>
        <v>0</v>
      </c>
    </row>
    <row r="146" spans="2:19" s="496" customFormat="1" ht="12" hidden="1">
      <c r="B146" s="561">
        <v>134</v>
      </c>
      <c r="C146" s="572"/>
      <c r="D146" s="541"/>
      <c r="E146" s="541"/>
      <c r="F146" s="543"/>
      <c r="G146" s="36">
        <f t="shared" si="10"/>
        <v>0</v>
      </c>
      <c r="H146" s="554">
        <f>IF(Consolidado_Geral!$G$133=7.6%,-(0.0165+0.076)*F146,0)</f>
        <v>0</v>
      </c>
      <c r="I146" s="36">
        <f t="shared" si="11"/>
        <v>0</v>
      </c>
      <c r="J146" s="574"/>
      <c r="K146" s="549"/>
      <c r="M146" s="557">
        <f t="shared" si="14"/>
        <v>0</v>
      </c>
      <c r="N146" s="3"/>
      <c r="O146" s="557">
        <f t="shared" si="12"/>
        <v>0</v>
      </c>
      <c r="Q146" s="543"/>
      <c r="S146" s="557">
        <f t="shared" si="13"/>
        <v>0</v>
      </c>
    </row>
    <row r="147" spans="2:19" s="496" customFormat="1" ht="12" hidden="1">
      <c r="B147" s="561">
        <v>135</v>
      </c>
      <c r="C147" s="572"/>
      <c r="D147" s="541"/>
      <c r="E147" s="541"/>
      <c r="F147" s="543"/>
      <c r="G147" s="36">
        <f t="shared" si="10"/>
        <v>0</v>
      </c>
      <c r="H147" s="554">
        <f>IF(Consolidado_Geral!$G$133=7.6%,-(0.0165+0.076)*F147,0)</f>
        <v>0</v>
      </c>
      <c r="I147" s="36">
        <f t="shared" si="11"/>
        <v>0</v>
      </c>
      <c r="J147" s="574"/>
      <c r="K147" s="549"/>
      <c r="M147" s="557">
        <f t="shared" si="14"/>
        <v>0</v>
      </c>
      <c r="N147" s="3"/>
      <c r="O147" s="557">
        <f t="shared" si="12"/>
        <v>0</v>
      </c>
      <c r="Q147" s="543"/>
      <c r="S147" s="557">
        <f t="shared" si="13"/>
        <v>0</v>
      </c>
    </row>
    <row r="148" spans="2:19" s="496" customFormat="1" ht="12" hidden="1">
      <c r="B148" s="561">
        <v>136</v>
      </c>
      <c r="C148" s="572"/>
      <c r="D148" s="541"/>
      <c r="E148" s="541"/>
      <c r="F148" s="543"/>
      <c r="G148" s="36">
        <f t="shared" si="10"/>
        <v>0</v>
      </c>
      <c r="H148" s="554">
        <f>IF(Consolidado_Geral!$G$133=7.6%,-(0.0165+0.076)*F148,0)</f>
        <v>0</v>
      </c>
      <c r="I148" s="36">
        <f t="shared" si="11"/>
        <v>0</v>
      </c>
      <c r="J148" s="574"/>
      <c r="K148" s="549"/>
      <c r="M148" s="557">
        <f t="shared" si="14"/>
        <v>0</v>
      </c>
      <c r="N148" s="3"/>
      <c r="O148" s="557">
        <f t="shared" si="12"/>
        <v>0</v>
      </c>
      <c r="Q148" s="543"/>
      <c r="S148" s="557">
        <f t="shared" si="13"/>
        <v>0</v>
      </c>
    </row>
    <row r="149" spans="2:19" s="496" customFormat="1" ht="12" hidden="1">
      <c r="B149" s="561">
        <v>137</v>
      </c>
      <c r="C149" s="572"/>
      <c r="D149" s="541"/>
      <c r="E149" s="541"/>
      <c r="F149" s="543"/>
      <c r="G149" s="36">
        <f t="shared" si="10"/>
        <v>0</v>
      </c>
      <c r="H149" s="554">
        <f>IF(Consolidado_Geral!$G$133=7.6%,-(0.0165+0.076)*F149,0)</f>
        <v>0</v>
      </c>
      <c r="I149" s="36">
        <f t="shared" si="11"/>
        <v>0</v>
      </c>
      <c r="J149" s="574"/>
      <c r="K149" s="549"/>
      <c r="M149" s="557">
        <f t="shared" si="14"/>
        <v>0</v>
      </c>
      <c r="N149" s="3"/>
      <c r="O149" s="557">
        <f t="shared" si="12"/>
        <v>0</v>
      </c>
      <c r="Q149" s="543"/>
      <c r="S149" s="557">
        <f t="shared" si="13"/>
        <v>0</v>
      </c>
    </row>
    <row r="150" spans="2:19" s="496" customFormat="1" ht="12" hidden="1">
      <c r="B150" s="561">
        <v>138</v>
      </c>
      <c r="C150" s="572"/>
      <c r="D150" s="541"/>
      <c r="E150" s="541"/>
      <c r="F150" s="543"/>
      <c r="G150" s="36">
        <f t="shared" si="10"/>
        <v>0</v>
      </c>
      <c r="H150" s="554">
        <f>IF(Consolidado_Geral!$G$133=7.6%,-(0.0165+0.076)*F150,0)</f>
        <v>0</v>
      </c>
      <c r="I150" s="36">
        <f t="shared" si="11"/>
        <v>0</v>
      </c>
      <c r="J150" s="574"/>
      <c r="K150" s="549"/>
      <c r="M150" s="557">
        <f t="shared" si="14"/>
        <v>0</v>
      </c>
      <c r="N150" s="3"/>
      <c r="O150" s="557">
        <f t="shared" si="12"/>
        <v>0</v>
      </c>
      <c r="Q150" s="543"/>
      <c r="S150" s="557">
        <f t="shared" si="13"/>
        <v>0</v>
      </c>
    </row>
    <row r="151" spans="2:19" s="496" customFormat="1" ht="12" hidden="1">
      <c r="B151" s="561">
        <v>139</v>
      </c>
      <c r="C151" s="572"/>
      <c r="D151" s="541"/>
      <c r="E151" s="541"/>
      <c r="F151" s="543"/>
      <c r="G151" s="36">
        <f t="shared" si="10"/>
        <v>0</v>
      </c>
      <c r="H151" s="554">
        <f>IF(Consolidado_Geral!$G$133=7.6%,-(0.0165+0.076)*F151,0)</f>
        <v>0</v>
      </c>
      <c r="I151" s="36">
        <f t="shared" si="11"/>
        <v>0</v>
      </c>
      <c r="J151" s="574"/>
      <c r="K151" s="549"/>
      <c r="M151" s="557">
        <f t="shared" si="14"/>
        <v>0</v>
      </c>
      <c r="N151" s="3"/>
      <c r="O151" s="557">
        <f t="shared" si="12"/>
        <v>0</v>
      </c>
      <c r="Q151" s="543"/>
      <c r="S151" s="557">
        <f t="shared" si="13"/>
        <v>0</v>
      </c>
    </row>
    <row r="152" spans="2:19" s="496" customFormat="1" ht="12" hidden="1">
      <c r="B152" s="561">
        <v>140</v>
      </c>
      <c r="C152" s="572"/>
      <c r="D152" s="541"/>
      <c r="E152" s="541"/>
      <c r="F152" s="543"/>
      <c r="G152" s="36">
        <f t="shared" si="10"/>
        <v>0</v>
      </c>
      <c r="H152" s="554">
        <f>IF(Consolidado_Geral!$G$133=7.6%,-(0.0165+0.076)*F152,0)</f>
        <v>0</v>
      </c>
      <c r="I152" s="36">
        <f t="shared" si="11"/>
        <v>0</v>
      </c>
      <c r="J152" s="574"/>
      <c r="K152" s="549"/>
      <c r="M152" s="557">
        <f t="shared" si="14"/>
        <v>0</v>
      </c>
      <c r="N152" s="3"/>
      <c r="O152" s="557">
        <f t="shared" si="12"/>
        <v>0</v>
      </c>
      <c r="Q152" s="543"/>
      <c r="S152" s="557">
        <f t="shared" si="13"/>
        <v>0</v>
      </c>
    </row>
    <row r="153" spans="2:19" s="496" customFormat="1" ht="12" hidden="1">
      <c r="B153" s="561">
        <v>141</v>
      </c>
      <c r="C153" s="572"/>
      <c r="D153" s="541"/>
      <c r="E153" s="541"/>
      <c r="F153" s="543"/>
      <c r="G153" s="36">
        <f t="shared" si="10"/>
        <v>0</v>
      </c>
      <c r="H153" s="554">
        <f>IF(Consolidado_Geral!$G$133=7.6%,-(0.0165+0.076)*F153,0)</f>
        <v>0</v>
      </c>
      <c r="I153" s="36">
        <f t="shared" si="11"/>
        <v>0</v>
      </c>
      <c r="J153" s="574"/>
      <c r="K153" s="549"/>
      <c r="M153" s="557">
        <f t="shared" si="14"/>
        <v>0</v>
      </c>
      <c r="N153" s="3"/>
      <c r="O153" s="557">
        <f t="shared" si="12"/>
        <v>0</v>
      </c>
      <c r="Q153" s="543"/>
      <c r="S153" s="557">
        <f t="shared" si="13"/>
        <v>0</v>
      </c>
    </row>
    <row r="154" spans="2:19" s="496" customFormat="1" ht="12" hidden="1">
      <c r="B154" s="561">
        <v>142</v>
      </c>
      <c r="C154" s="572"/>
      <c r="D154" s="541"/>
      <c r="E154" s="541"/>
      <c r="F154" s="543"/>
      <c r="G154" s="36">
        <f t="shared" si="10"/>
        <v>0</v>
      </c>
      <c r="H154" s="554">
        <f>IF(Consolidado_Geral!$G$133=7.6%,-(0.0165+0.076)*F154,0)</f>
        <v>0</v>
      </c>
      <c r="I154" s="36">
        <f t="shared" si="11"/>
        <v>0</v>
      </c>
      <c r="J154" s="574"/>
      <c r="K154" s="549"/>
      <c r="M154" s="557">
        <f t="shared" si="14"/>
        <v>0</v>
      </c>
      <c r="N154" s="3"/>
      <c r="O154" s="557">
        <f t="shared" si="12"/>
        <v>0</v>
      </c>
      <c r="Q154" s="543"/>
      <c r="S154" s="557">
        <f t="shared" si="13"/>
        <v>0</v>
      </c>
    </row>
    <row r="155" spans="2:19" s="496" customFormat="1" ht="12" hidden="1">
      <c r="B155" s="561">
        <v>143</v>
      </c>
      <c r="C155" s="572"/>
      <c r="D155" s="541"/>
      <c r="E155" s="541"/>
      <c r="F155" s="543"/>
      <c r="G155" s="36">
        <f t="shared" si="10"/>
        <v>0</v>
      </c>
      <c r="H155" s="554">
        <f>IF(Consolidado_Geral!$G$133=7.6%,-(0.0165+0.076)*F155,0)</f>
        <v>0</v>
      </c>
      <c r="I155" s="36">
        <f t="shared" si="11"/>
        <v>0</v>
      </c>
      <c r="J155" s="574"/>
      <c r="K155" s="549"/>
      <c r="M155" s="557">
        <f t="shared" si="14"/>
        <v>0</v>
      </c>
      <c r="N155" s="3"/>
      <c r="O155" s="557">
        <f t="shared" si="12"/>
        <v>0</v>
      </c>
      <c r="Q155" s="543"/>
      <c r="S155" s="557">
        <f t="shared" si="13"/>
        <v>0</v>
      </c>
    </row>
    <row r="156" spans="2:19" s="496" customFormat="1" ht="12" hidden="1">
      <c r="B156" s="561">
        <v>144</v>
      </c>
      <c r="C156" s="572"/>
      <c r="D156" s="541"/>
      <c r="E156" s="541"/>
      <c r="F156" s="543"/>
      <c r="G156" s="36">
        <f t="shared" si="10"/>
        <v>0</v>
      </c>
      <c r="H156" s="554">
        <f>IF(Consolidado_Geral!$G$133=7.6%,-(0.0165+0.076)*F156,0)</f>
        <v>0</v>
      </c>
      <c r="I156" s="36">
        <f t="shared" si="11"/>
        <v>0</v>
      </c>
      <c r="J156" s="574"/>
      <c r="K156" s="549"/>
      <c r="M156" s="557">
        <f t="shared" si="14"/>
        <v>0</v>
      </c>
      <c r="N156" s="3"/>
      <c r="O156" s="557">
        <f t="shared" si="12"/>
        <v>0</v>
      </c>
      <c r="Q156" s="543"/>
      <c r="S156" s="557">
        <f t="shared" si="13"/>
        <v>0</v>
      </c>
    </row>
    <row r="157" spans="2:19" s="496" customFormat="1" ht="12" hidden="1">
      <c r="B157" s="561">
        <v>145</v>
      </c>
      <c r="C157" s="572"/>
      <c r="D157" s="541"/>
      <c r="E157" s="541"/>
      <c r="F157" s="543"/>
      <c r="G157" s="36">
        <f t="shared" si="10"/>
        <v>0</v>
      </c>
      <c r="H157" s="554">
        <f>IF(Consolidado_Geral!$G$133=7.6%,-(0.0165+0.076)*F157,0)</f>
        <v>0</v>
      </c>
      <c r="I157" s="36">
        <f t="shared" si="11"/>
        <v>0</v>
      </c>
      <c r="J157" s="574"/>
      <c r="K157" s="549"/>
      <c r="M157" s="557">
        <f t="shared" si="14"/>
        <v>0</v>
      </c>
      <c r="N157" s="3"/>
      <c r="O157" s="557">
        <f t="shared" si="12"/>
        <v>0</v>
      </c>
      <c r="Q157" s="543"/>
      <c r="S157" s="557">
        <f t="shared" si="13"/>
        <v>0</v>
      </c>
    </row>
    <row r="158" spans="2:19" s="496" customFormat="1" ht="12" hidden="1">
      <c r="B158" s="561">
        <v>146</v>
      </c>
      <c r="C158" s="572"/>
      <c r="D158" s="541"/>
      <c r="E158" s="541"/>
      <c r="F158" s="543"/>
      <c r="G158" s="36">
        <f t="shared" si="10"/>
        <v>0</v>
      </c>
      <c r="H158" s="554">
        <f>IF(Consolidado_Geral!$G$133=7.6%,-(0.0165+0.076)*F158,0)</f>
        <v>0</v>
      </c>
      <c r="I158" s="36">
        <f t="shared" si="11"/>
        <v>0</v>
      </c>
      <c r="J158" s="574"/>
      <c r="K158" s="549"/>
      <c r="M158" s="557">
        <f t="shared" si="14"/>
        <v>0</v>
      </c>
      <c r="N158" s="3"/>
      <c r="O158" s="557">
        <f t="shared" si="12"/>
        <v>0</v>
      </c>
      <c r="Q158" s="543"/>
      <c r="S158" s="557">
        <f t="shared" si="13"/>
        <v>0</v>
      </c>
    </row>
    <row r="159" spans="2:19" s="496" customFormat="1" ht="12" hidden="1">
      <c r="B159" s="561">
        <v>147</v>
      </c>
      <c r="C159" s="572"/>
      <c r="D159" s="541"/>
      <c r="E159" s="541"/>
      <c r="F159" s="543"/>
      <c r="G159" s="36">
        <f t="shared" si="10"/>
        <v>0</v>
      </c>
      <c r="H159" s="554">
        <f>IF(Consolidado_Geral!$G$133=7.6%,-(0.0165+0.076)*F159,0)</f>
        <v>0</v>
      </c>
      <c r="I159" s="36">
        <f t="shared" si="11"/>
        <v>0</v>
      </c>
      <c r="J159" s="574"/>
      <c r="K159" s="549"/>
      <c r="M159" s="557">
        <f t="shared" si="14"/>
        <v>0</v>
      </c>
      <c r="N159" s="3"/>
      <c r="O159" s="557">
        <f t="shared" si="12"/>
        <v>0</v>
      </c>
      <c r="Q159" s="543"/>
      <c r="S159" s="557">
        <f t="shared" si="13"/>
        <v>0</v>
      </c>
    </row>
    <row r="160" spans="2:19" s="496" customFormat="1" ht="12" hidden="1">
      <c r="B160" s="561">
        <v>148</v>
      </c>
      <c r="C160" s="572"/>
      <c r="D160" s="541"/>
      <c r="E160" s="541"/>
      <c r="F160" s="543"/>
      <c r="G160" s="36">
        <f t="shared" si="10"/>
        <v>0</v>
      </c>
      <c r="H160" s="554">
        <f>IF(Consolidado_Geral!$G$133=7.6%,-(0.0165+0.076)*F160,0)</f>
        <v>0</v>
      </c>
      <c r="I160" s="36">
        <f t="shared" si="11"/>
        <v>0</v>
      </c>
      <c r="J160" s="574"/>
      <c r="K160" s="549"/>
      <c r="M160" s="557">
        <f t="shared" si="14"/>
        <v>0</v>
      </c>
      <c r="N160" s="3"/>
      <c r="O160" s="557">
        <f t="shared" si="12"/>
        <v>0</v>
      </c>
      <c r="Q160" s="543"/>
      <c r="S160" s="557">
        <f t="shared" si="13"/>
        <v>0</v>
      </c>
    </row>
    <row r="161" spans="2:19" s="496" customFormat="1" ht="12" hidden="1">
      <c r="B161" s="561">
        <v>149</v>
      </c>
      <c r="C161" s="572"/>
      <c r="D161" s="541"/>
      <c r="E161" s="541"/>
      <c r="F161" s="543"/>
      <c r="G161" s="36">
        <f t="shared" si="10"/>
        <v>0</v>
      </c>
      <c r="H161" s="554">
        <f>IF(Consolidado_Geral!$G$133=7.6%,-(0.0165+0.076)*F161,0)</f>
        <v>0</v>
      </c>
      <c r="I161" s="36">
        <f t="shared" si="11"/>
        <v>0</v>
      </c>
      <c r="J161" s="574"/>
      <c r="K161" s="549"/>
      <c r="M161" s="557">
        <f t="shared" si="14"/>
        <v>0</v>
      </c>
      <c r="N161" s="3"/>
      <c r="O161" s="557">
        <f t="shared" si="12"/>
        <v>0</v>
      </c>
      <c r="Q161" s="543"/>
      <c r="S161" s="557">
        <f t="shared" si="13"/>
        <v>0</v>
      </c>
    </row>
    <row r="162" spans="2:19" s="496" customFormat="1" ht="12" hidden="1">
      <c r="B162" s="561">
        <v>150</v>
      </c>
      <c r="C162" s="572"/>
      <c r="D162" s="541"/>
      <c r="E162" s="541"/>
      <c r="F162" s="543"/>
      <c r="G162" s="36">
        <f t="shared" si="10"/>
        <v>0</v>
      </c>
      <c r="H162" s="554">
        <f>IF(Consolidado_Geral!$G$133=7.6%,-(0.0165+0.076)*F162,0)</f>
        <v>0</v>
      </c>
      <c r="I162" s="36">
        <f t="shared" si="11"/>
        <v>0</v>
      </c>
      <c r="J162" s="574"/>
      <c r="K162" s="549"/>
      <c r="M162" s="557">
        <f t="shared" si="14"/>
        <v>0</v>
      </c>
      <c r="N162" s="3"/>
      <c r="O162" s="557">
        <f t="shared" si="12"/>
        <v>0</v>
      </c>
      <c r="Q162" s="543"/>
      <c r="S162" s="557">
        <f t="shared" si="13"/>
        <v>0</v>
      </c>
    </row>
    <row r="163" spans="2:19" s="496" customFormat="1" ht="12" hidden="1">
      <c r="B163" s="561">
        <v>151</v>
      </c>
      <c r="C163" s="572"/>
      <c r="D163" s="541"/>
      <c r="E163" s="541"/>
      <c r="F163" s="543"/>
      <c r="G163" s="36">
        <f t="shared" si="10"/>
        <v>0</v>
      </c>
      <c r="H163" s="554">
        <f>IF(Consolidado_Geral!$G$133=7.6%,-(0.0165+0.076)*F163,0)</f>
        <v>0</v>
      </c>
      <c r="I163" s="36">
        <f t="shared" si="11"/>
        <v>0</v>
      </c>
      <c r="J163" s="574"/>
      <c r="K163" s="549"/>
      <c r="M163" s="557">
        <f t="shared" si="14"/>
        <v>0</v>
      </c>
      <c r="N163" s="3"/>
      <c r="O163" s="557">
        <f t="shared" si="12"/>
        <v>0</v>
      </c>
      <c r="Q163" s="543"/>
      <c r="S163" s="557">
        <f t="shared" si="13"/>
        <v>0</v>
      </c>
    </row>
    <row r="164" spans="2:19" s="496" customFormat="1" ht="12" hidden="1">
      <c r="B164" s="561">
        <v>152</v>
      </c>
      <c r="C164" s="572"/>
      <c r="D164" s="541"/>
      <c r="E164" s="541"/>
      <c r="F164" s="543"/>
      <c r="G164" s="36">
        <f t="shared" si="10"/>
        <v>0</v>
      </c>
      <c r="H164" s="554">
        <f>IF(Consolidado_Geral!$G$133=7.6%,-(0.0165+0.076)*F164,0)</f>
        <v>0</v>
      </c>
      <c r="I164" s="36">
        <f t="shared" si="11"/>
        <v>0</v>
      </c>
      <c r="J164" s="574"/>
      <c r="K164" s="549"/>
      <c r="M164" s="557">
        <f t="shared" si="14"/>
        <v>0</v>
      </c>
      <c r="N164" s="3"/>
      <c r="O164" s="557">
        <f t="shared" si="12"/>
        <v>0</v>
      </c>
      <c r="Q164" s="543"/>
      <c r="S164" s="557">
        <f t="shared" si="13"/>
        <v>0</v>
      </c>
    </row>
    <row r="165" spans="2:19" s="496" customFormat="1" ht="12" hidden="1">
      <c r="B165" s="561">
        <v>153</v>
      </c>
      <c r="C165" s="572"/>
      <c r="D165" s="541"/>
      <c r="E165" s="541"/>
      <c r="F165" s="543"/>
      <c r="G165" s="36">
        <f t="shared" si="10"/>
        <v>0</v>
      </c>
      <c r="H165" s="554">
        <f>IF(Consolidado_Geral!$G$133=7.6%,-(0.0165+0.076)*F165,0)</f>
        <v>0</v>
      </c>
      <c r="I165" s="36">
        <f t="shared" si="11"/>
        <v>0</v>
      </c>
      <c r="J165" s="574"/>
      <c r="K165" s="549"/>
      <c r="M165" s="557">
        <f t="shared" si="14"/>
        <v>0</v>
      </c>
      <c r="N165" s="3"/>
      <c r="O165" s="557">
        <f t="shared" si="12"/>
        <v>0</v>
      </c>
      <c r="Q165" s="543"/>
      <c r="S165" s="557">
        <f t="shared" si="13"/>
        <v>0</v>
      </c>
    </row>
    <row r="166" spans="2:19" s="496" customFormat="1" ht="12" hidden="1">
      <c r="B166" s="561">
        <v>154</v>
      </c>
      <c r="C166" s="572"/>
      <c r="D166" s="541"/>
      <c r="E166" s="541"/>
      <c r="F166" s="543"/>
      <c r="G166" s="36">
        <f t="shared" si="10"/>
        <v>0</v>
      </c>
      <c r="H166" s="554">
        <f>IF(Consolidado_Geral!$G$133=7.6%,-(0.0165+0.076)*F166,0)</f>
        <v>0</v>
      </c>
      <c r="I166" s="36">
        <f t="shared" si="11"/>
        <v>0</v>
      </c>
      <c r="J166" s="574"/>
      <c r="K166" s="549"/>
      <c r="M166" s="557">
        <f t="shared" si="14"/>
        <v>0</v>
      </c>
      <c r="N166" s="3"/>
      <c r="O166" s="557">
        <f t="shared" si="12"/>
        <v>0</v>
      </c>
      <c r="Q166" s="543"/>
      <c r="S166" s="557">
        <f t="shared" si="13"/>
        <v>0</v>
      </c>
    </row>
    <row r="167" spans="2:19" s="496" customFormat="1" ht="12" hidden="1">
      <c r="B167" s="561">
        <v>155</v>
      </c>
      <c r="C167" s="572"/>
      <c r="D167" s="541"/>
      <c r="E167" s="541"/>
      <c r="F167" s="543"/>
      <c r="G167" s="36">
        <f t="shared" si="10"/>
        <v>0</v>
      </c>
      <c r="H167" s="554">
        <f>IF(Consolidado_Geral!$G$133=7.6%,-(0.0165+0.076)*F167,0)</f>
        <v>0</v>
      </c>
      <c r="I167" s="36">
        <f t="shared" si="11"/>
        <v>0</v>
      </c>
      <c r="J167" s="574"/>
      <c r="K167" s="549"/>
      <c r="M167" s="557">
        <f t="shared" si="14"/>
        <v>0</v>
      </c>
      <c r="N167" s="3"/>
      <c r="O167" s="557">
        <f t="shared" si="12"/>
        <v>0</v>
      </c>
      <c r="Q167" s="543"/>
      <c r="S167" s="557">
        <f t="shared" si="13"/>
        <v>0</v>
      </c>
    </row>
    <row r="168" spans="2:19" s="496" customFormat="1" ht="12" hidden="1">
      <c r="B168" s="561">
        <v>156</v>
      </c>
      <c r="C168" s="572"/>
      <c r="D168" s="541"/>
      <c r="E168" s="541"/>
      <c r="F168" s="543"/>
      <c r="G168" s="36">
        <f t="shared" si="10"/>
        <v>0</v>
      </c>
      <c r="H168" s="554">
        <f>IF(Consolidado_Geral!$G$133=7.6%,-(0.0165+0.076)*F168,0)</f>
        <v>0</v>
      </c>
      <c r="I168" s="36">
        <f t="shared" si="11"/>
        <v>0</v>
      </c>
      <c r="J168" s="574"/>
      <c r="K168" s="549"/>
      <c r="M168" s="557">
        <f t="shared" si="14"/>
        <v>0</v>
      </c>
      <c r="N168" s="3"/>
      <c r="O168" s="557">
        <f t="shared" si="12"/>
        <v>0</v>
      </c>
      <c r="Q168" s="543"/>
      <c r="S168" s="557">
        <f t="shared" si="13"/>
        <v>0</v>
      </c>
    </row>
    <row r="169" spans="2:19" s="496" customFormat="1" ht="12" hidden="1">
      <c r="B169" s="561">
        <v>157</v>
      </c>
      <c r="C169" s="572"/>
      <c r="D169" s="541"/>
      <c r="E169" s="541"/>
      <c r="F169" s="543"/>
      <c r="G169" s="36">
        <f t="shared" si="10"/>
        <v>0</v>
      </c>
      <c r="H169" s="554">
        <f>IF(Consolidado_Geral!$G$133=7.6%,-(0.0165+0.076)*F169,0)</f>
        <v>0</v>
      </c>
      <c r="I169" s="36">
        <f t="shared" si="11"/>
        <v>0</v>
      </c>
      <c r="J169" s="574"/>
      <c r="K169" s="549"/>
      <c r="M169" s="557">
        <f t="shared" si="14"/>
        <v>0</v>
      </c>
      <c r="N169" s="3"/>
      <c r="O169" s="557">
        <f t="shared" si="12"/>
        <v>0</v>
      </c>
      <c r="Q169" s="543"/>
      <c r="S169" s="557">
        <f t="shared" si="13"/>
        <v>0</v>
      </c>
    </row>
    <row r="170" spans="2:19" s="496" customFormat="1" ht="12" hidden="1">
      <c r="B170" s="561">
        <v>158</v>
      </c>
      <c r="C170" s="572"/>
      <c r="D170" s="541"/>
      <c r="E170" s="541"/>
      <c r="F170" s="543"/>
      <c r="G170" s="36">
        <f t="shared" si="10"/>
        <v>0</v>
      </c>
      <c r="H170" s="554">
        <f>IF(Consolidado_Geral!$G$133=7.6%,-(0.0165+0.076)*F170,0)</f>
        <v>0</v>
      </c>
      <c r="I170" s="36">
        <f t="shared" si="11"/>
        <v>0</v>
      </c>
      <c r="J170" s="574"/>
      <c r="K170" s="549"/>
      <c r="M170" s="557">
        <f t="shared" si="14"/>
        <v>0</v>
      </c>
      <c r="N170" s="3"/>
      <c r="O170" s="557">
        <f t="shared" si="12"/>
        <v>0</v>
      </c>
      <c r="Q170" s="543"/>
      <c r="S170" s="557">
        <f t="shared" si="13"/>
        <v>0</v>
      </c>
    </row>
    <row r="171" spans="2:19" s="496" customFormat="1" ht="12" hidden="1">
      <c r="B171" s="561">
        <v>159</v>
      </c>
      <c r="C171" s="572"/>
      <c r="D171" s="541"/>
      <c r="E171" s="541"/>
      <c r="F171" s="543"/>
      <c r="G171" s="36">
        <f t="shared" si="10"/>
        <v>0</v>
      </c>
      <c r="H171" s="554">
        <f>IF(Consolidado_Geral!$G$133=7.6%,-(0.0165+0.076)*F171,0)</f>
        <v>0</v>
      </c>
      <c r="I171" s="36">
        <f t="shared" si="11"/>
        <v>0</v>
      </c>
      <c r="J171" s="574"/>
      <c r="K171" s="549"/>
      <c r="M171" s="557">
        <f t="shared" si="14"/>
        <v>0</v>
      </c>
      <c r="N171" s="3"/>
      <c r="O171" s="557">
        <f t="shared" si="12"/>
        <v>0</v>
      </c>
      <c r="Q171" s="543"/>
      <c r="S171" s="557">
        <f t="shared" si="13"/>
        <v>0</v>
      </c>
    </row>
    <row r="172" spans="2:19" s="496" customFormat="1" ht="12" hidden="1">
      <c r="B172" s="561">
        <v>160</v>
      </c>
      <c r="C172" s="572"/>
      <c r="D172" s="541"/>
      <c r="E172" s="541"/>
      <c r="F172" s="543"/>
      <c r="G172" s="36">
        <f t="shared" si="10"/>
        <v>0</v>
      </c>
      <c r="H172" s="554">
        <f>IF(Consolidado_Geral!$G$133=7.6%,-(0.0165+0.076)*F172,0)</f>
        <v>0</v>
      </c>
      <c r="I172" s="36">
        <f t="shared" si="11"/>
        <v>0</v>
      </c>
      <c r="J172" s="574"/>
      <c r="K172" s="549"/>
      <c r="M172" s="557">
        <f t="shared" si="14"/>
        <v>0</v>
      </c>
      <c r="N172" s="3"/>
      <c r="O172" s="557">
        <f t="shared" si="12"/>
        <v>0</v>
      </c>
      <c r="Q172" s="543"/>
      <c r="S172" s="557">
        <f t="shared" si="13"/>
        <v>0</v>
      </c>
    </row>
    <row r="173" spans="2:19" s="496" customFormat="1" ht="12" hidden="1">
      <c r="B173" s="561">
        <v>161</v>
      </c>
      <c r="C173" s="572"/>
      <c r="D173" s="541"/>
      <c r="E173" s="541"/>
      <c r="F173" s="543"/>
      <c r="G173" s="36">
        <f t="shared" si="10"/>
        <v>0</v>
      </c>
      <c r="H173" s="554">
        <f>IF(Consolidado_Geral!$G$133=7.6%,-(0.0165+0.076)*F173,0)</f>
        <v>0</v>
      </c>
      <c r="I173" s="36">
        <f t="shared" si="11"/>
        <v>0</v>
      </c>
      <c r="J173" s="574"/>
      <c r="K173" s="549"/>
      <c r="M173" s="557">
        <f t="shared" si="14"/>
        <v>0</v>
      </c>
      <c r="N173" s="3"/>
      <c r="O173" s="557">
        <f t="shared" si="12"/>
        <v>0</v>
      </c>
      <c r="Q173" s="543"/>
      <c r="S173" s="557">
        <f t="shared" si="13"/>
        <v>0</v>
      </c>
    </row>
    <row r="174" spans="2:19" s="496" customFormat="1" ht="12" hidden="1">
      <c r="B174" s="561">
        <v>162</v>
      </c>
      <c r="C174" s="572"/>
      <c r="D174" s="541"/>
      <c r="E174" s="541"/>
      <c r="F174" s="543"/>
      <c r="G174" s="36">
        <f t="shared" si="10"/>
        <v>0</v>
      </c>
      <c r="H174" s="554">
        <f>IF(Consolidado_Geral!$G$133=7.6%,-(0.0165+0.076)*F174,0)</f>
        <v>0</v>
      </c>
      <c r="I174" s="36">
        <f t="shared" si="11"/>
        <v>0</v>
      </c>
      <c r="J174" s="574"/>
      <c r="K174" s="549"/>
      <c r="M174" s="557">
        <f t="shared" si="14"/>
        <v>0</v>
      </c>
      <c r="N174" s="3"/>
      <c r="O174" s="557">
        <f t="shared" si="12"/>
        <v>0</v>
      </c>
      <c r="Q174" s="543"/>
      <c r="S174" s="557">
        <f t="shared" si="13"/>
        <v>0</v>
      </c>
    </row>
    <row r="175" spans="2:19" s="496" customFormat="1" ht="12" hidden="1">
      <c r="B175" s="561">
        <v>163</v>
      </c>
      <c r="C175" s="572"/>
      <c r="D175" s="541"/>
      <c r="E175" s="541"/>
      <c r="F175" s="543"/>
      <c r="G175" s="36">
        <f t="shared" si="10"/>
        <v>0</v>
      </c>
      <c r="H175" s="554">
        <f>IF(Consolidado_Geral!$G$133=7.6%,-(0.0165+0.076)*F175,0)</f>
        <v>0</v>
      </c>
      <c r="I175" s="36">
        <f t="shared" si="11"/>
        <v>0</v>
      </c>
      <c r="J175" s="574"/>
      <c r="K175" s="549"/>
      <c r="M175" s="557">
        <f t="shared" si="14"/>
        <v>0</v>
      </c>
      <c r="N175" s="3"/>
      <c r="O175" s="557">
        <f t="shared" si="12"/>
        <v>0</v>
      </c>
      <c r="Q175" s="543"/>
      <c r="S175" s="557">
        <f t="shared" si="13"/>
        <v>0</v>
      </c>
    </row>
    <row r="176" spans="2:19" s="496" customFormat="1" ht="12" hidden="1">
      <c r="B176" s="561">
        <v>164</v>
      </c>
      <c r="C176" s="572"/>
      <c r="D176" s="541"/>
      <c r="E176" s="541"/>
      <c r="F176" s="543"/>
      <c r="G176" s="36">
        <f t="shared" si="10"/>
        <v>0</v>
      </c>
      <c r="H176" s="554">
        <f>IF(Consolidado_Geral!$G$133=7.6%,-(0.0165+0.076)*F176,0)</f>
        <v>0</v>
      </c>
      <c r="I176" s="36">
        <f t="shared" si="11"/>
        <v>0</v>
      </c>
      <c r="J176" s="574"/>
      <c r="K176" s="549"/>
      <c r="M176" s="557">
        <f t="shared" si="14"/>
        <v>0</v>
      </c>
      <c r="N176" s="3"/>
      <c r="O176" s="557">
        <f t="shared" si="12"/>
        <v>0</v>
      </c>
      <c r="Q176" s="543"/>
      <c r="S176" s="557">
        <f t="shared" si="13"/>
        <v>0</v>
      </c>
    </row>
    <row r="177" spans="2:19" s="496" customFormat="1" ht="12" hidden="1">
      <c r="B177" s="561">
        <v>165</v>
      </c>
      <c r="C177" s="572"/>
      <c r="D177" s="541"/>
      <c r="E177" s="541"/>
      <c r="F177" s="543"/>
      <c r="G177" s="36">
        <f t="shared" si="10"/>
        <v>0</v>
      </c>
      <c r="H177" s="554">
        <f>IF(Consolidado_Geral!$G$133=7.6%,-(0.0165+0.076)*F177,0)</f>
        <v>0</v>
      </c>
      <c r="I177" s="36">
        <f t="shared" si="11"/>
        <v>0</v>
      </c>
      <c r="J177" s="574"/>
      <c r="K177" s="549"/>
      <c r="M177" s="557">
        <f t="shared" si="14"/>
        <v>0</v>
      </c>
      <c r="N177" s="3"/>
      <c r="O177" s="557">
        <f t="shared" si="12"/>
        <v>0</v>
      </c>
      <c r="Q177" s="543"/>
      <c r="S177" s="557">
        <f t="shared" si="13"/>
        <v>0</v>
      </c>
    </row>
    <row r="178" spans="2:19" s="496" customFormat="1" ht="12" hidden="1">
      <c r="B178" s="561">
        <v>166</v>
      </c>
      <c r="C178" s="572"/>
      <c r="D178" s="541"/>
      <c r="E178" s="541"/>
      <c r="F178" s="543"/>
      <c r="G178" s="36">
        <f t="shared" si="10"/>
        <v>0</v>
      </c>
      <c r="H178" s="554">
        <f>IF(Consolidado_Geral!$G$133=7.6%,-(0.0165+0.076)*F178,0)</f>
        <v>0</v>
      </c>
      <c r="I178" s="36">
        <f t="shared" si="11"/>
        <v>0</v>
      </c>
      <c r="J178" s="574"/>
      <c r="K178" s="549"/>
      <c r="M178" s="557">
        <f t="shared" si="14"/>
        <v>0</v>
      </c>
      <c r="N178" s="3"/>
      <c r="O178" s="557">
        <f t="shared" si="12"/>
        <v>0</v>
      </c>
      <c r="Q178" s="543"/>
      <c r="S178" s="557">
        <f t="shared" si="13"/>
        <v>0</v>
      </c>
    </row>
    <row r="179" spans="2:19" s="496" customFormat="1" ht="12" hidden="1">
      <c r="B179" s="561">
        <v>167</v>
      </c>
      <c r="C179" s="572"/>
      <c r="D179" s="541"/>
      <c r="E179" s="541"/>
      <c r="F179" s="543"/>
      <c r="G179" s="36">
        <f t="shared" si="10"/>
        <v>0</v>
      </c>
      <c r="H179" s="554">
        <f>IF(Consolidado_Geral!$G$133=7.6%,-(0.0165+0.076)*F179,0)</f>
        <v>0</v>
      </c>
      <c r="I179" s="36">
        <f t="shared" si="11"/>
        <v>0</v>
      </c>
      <c r="J179" s="574"/>
      <c r="K179" s="549"/>
      <c r="M179" s="557">
        <f t="shared" si="14"/>
        <v>0</v>
      </c>
      <c r="N179" s="3"/>
      <c r="O179" s="557">
        <f t="shared" si="12"/>
        <v>0</v>
      </c>
      <c r="Q179" s="543"/>
      <c r="S179" s="557">
        <f t="shared" si="13"/>
        <v>0</v>
      </c>
    </row>
    <row r="180" spans="2:19" s="496" customFormat="1" ht="12" hidden="1">
      <c r="B180" s="561">
        <v>168</v>
      </c>
      <c r="C180" s="572"/>
      <c r="D180" s="541"/>
      <c r="E180" s="541"/>
      <c r="F180" s="543"/>
      <c r="G180" s="36">
        <f t="shared" si="10"/>
        <v>0</v>
      </c>
      <c r="H180" s="554">
        <f>IF(Consolidado_Geral!$G$133=7.6%,-(0.0165+0.076)*F180,0)</f>
        <v>0</v>
      </c>
      <c r="I180" s="36">
        <f t="shared" si="11"/>
        <v>0</v>
      </c>
      <c r="J180" s="574"/>
      <c r="K180" s="549"/>
      <c r="M180" s="557">
        <f t="shared" si="14"/>
        <v>0</v>
      </c>
      <c r="N180" s="3"/>
      <c r="O180" s="557">
        <f t="shared" si="12"/>
        <v>0</v>
      </c>
      <c r="Q180" s="543"/>
      <c r="S180" s="557">
        <f t="shared" si="13"/>
        <v>0</v>
      </c>
    </row>
    <row r="181" spans="2:19" s="496" customFormat="1" ht="12" hidden="1">
      <c r="B181" s="561">
        <v>169</v>
      </c>
      <c r="C181" s="572"/>
      <c r="D181" s="541"/>
      <c r="E181" s="541"/>
      <c r="F181" s="543"/>
      <c r="G181" s="36">
        <f t="shared" si="10"/>
        <v>0</v>
      </c>
      <c r="H181" s="554">
        <f>IF(Consolidado_Geral!$G$133=7.6%,-(0.0165+0.076)*F181,0)</f>
        <v>0</v>
      </c>
      <c r="I181" s="36">
        <f t="shared" si="11"/>
        <v>0</v>
      </c>
      <c r="J181" s="574"/>
      <c r="K181" s="549"/>
      <c r="M181" s="557">
        <f t="shared" si="14"/>
        <v>0</v>
      </c>
      <c r="N181" s="3"/>
      <c r="O181" s="557">
        <f t="shared" si="12"/>
        <v>0</v>
      </c>
      <c r="Q181" s="543"/>
      <c r="S181" s="557">
        <f t="shared" si="13"/>
        <v>0</v>
      </c>
    </row>
    <row r="182" spans="2:19" s="496" customFormat="1" ht="12" hidden="1">
      <c r="B182" s="561">
        <v>170</v>
      </c>
      <c r="C182" s="572"/>
      <c r="D182" s="541"/>
      <c r="E182" s="541"/>
      <c r="F182" s="543"/>
      <c r="G182" s="36">
        <f t="shared" si="10"/>
        <v>0</v>
      </c>
      <c r="H182" s="554">
        <f>IF(Consolidado_Geral!$G$133=7.6%,-(0.0165+0.076)*F182,0)</f>
        <v>0</v>
      </c>
      <c r="I182" s="36">
        <f t="shared" si="11"/>
        <v>0</v>
      </c>
      <c r="J182" s="574"/>
      <c r="K182" s="549"/>
      <c r="M182" s="557">
        <f t="shared" si="14"/>
        <v>0</v>
      </c>
      <c r="N182" s="3"/>
      <c r="O182" s="557">
        <f t="shared" si="12"/>
        <v>0</v>
      </c>
      <c r="Q182" s="543"/>
      <c r="S182" s="557">
        <f t="shared" si="13"/>
        <v>0</v>
      </c>
    </row>
    <row r="183" spans="2:19" s="496" customFormat="1" ht="12" hidden="1">
      <c r="B183" s="561">
        <v>171</v>
      </c>
      <c r="C183" s="572"/>
      <c r="D183" s="541"/>
      <c r="E183" s="541"/>
      <c r="F183" s="543"/>
      <c r="G183" s="36">
        <f t="shared" si="10"/>
        <v>0</v>
      </c>
      <c r="H183" s="554">
        <f>IF(Consolidado_Geral!$G$133=7.6%,-(0.0165+0.076)*F183,0)</f>
        <v>0</v>
      </c>
      <c r="I183" s="36">
        <f t="shared" si="11"/>
        <v>0</v>
      </c>
      <c r="J183" s="574"/>
      <c r="K183" s="549"/>
      <c r="M183" s="557">
        <f t="shared" si="14"/>
        <v>0</v>
      </c>
      <c r="N183" s="3"/>
      <c r="O183" s="557">
        <f t="shared" si="12"/>
        <v>0</v>
      </c>
      <c r="Q183" s="543"/>
      <c r="S183" s="557">
        <f t="shared" si="13"/>
        <v>0</v>
      </c>
    </row>
    <row r="184" spans="2:19" s="496" customFormat="1" ht="12" hidden="1">
      <c r="B184" s="561">
        <v>172</v>
      </c>
      <c r="C184" s="572"/>
      <c r="D184" s="541"/>
      <c r="E184" s="541"/>
      <c r="F184" s="543"/>
      <c r="G184" s="36">
        <f t="shared" si="10"/>
        <v>0</v>
      </c>
      <c r="H184" s="554">
        <f>IF(Consolidado_Geral!$G$133=7.6%,-(0.0165+0.076)*F184,0)</f>
        <v>0</v>
      </c>
      <c r="I184" s="36">
        <f t="shared" si="11"/>
        <v>0</v>
      </c>
      <c r="J184" s="574"/>
      <c r="K184" s="549"/>
      <c r="M184" s="557">
        <f t="shared" si="14"/>
        <v>0</v>
      </c>
      <c r="N184" s="3"/>
      <c r="O184" s="557">
        <f t="shared" si="12"/>
        <v>0</v>
      </c>
      <c r="Q184" s="543"/>
      <c r="S184" s="557">
        <f t="shared" si="13"/>
        <v>0</v>
      </c>
    </row>
    <row r="185" spans="2:19" s="496" customFormat="1" ht="12" hidden="1">
      <c r="B185" s="561">
        <v>173</v>
      </c>
      <c r="C185" s="572"/>
      <c r="D185" s="541"/>
      <c r="E185" s="541"/>
      <c r="F185" s="543"/>
      <c r="G185" s="36">
        <f t="shared" si="10"/>
        <v>0</v>
      </c>
      <c r="H185" s="554">
        <f>IF(Consolidado_Geral!$G$133=7.6%,-(0.0165+0.076)*F185,0)</f>
        <v>0</v>
      </c>
      <c r="I185" s="36">
        <f t="shared" si="11"/>
        <v>0</v>
      </c>
      <c r="J185" s="574"/>
      <c r="K185" s="549"/>
      <c r="M185" s="557">
        <f t="shared" si="14"/>
        <v>0</v>
      </c>
      <c r="N185" s="3"/>
      <c r="O185" s="557">
        <f t="shared" si="12"/>
        <v>0</v>
      </c>
      <c r="Q185" s="543"/>
      <c r="S185" s="557">
        <f t="shared" si="13"/>
        <v>0</v>
      </c>
    </row>
    <row r="186" spans="2:19" s="496" customFormat="1" ht="12" hidden="1">
      <c r="B186" s="561">
        <v>174</v>
      </c>
      <c r="C186" s="572"/>
      <c r="D186" s="541"/>
      <c r="E186" s="541"/>
      <c r="F186" s="543"/>
      <c r="G186" s="36">
        <f t="shared" si="10"/>
        <v>0</v>
      </c>
      <c r="H186" s="554">
        <f>IF(Consolidado_Geral!$G$133=7.6%,-(0.0165+0.076)*F186,0)</f>
        <v>0</v>
      </c>
      <c r="I186" s="36">
        <f t="shared" si="11"/>
        <v>0</v>
      </c>
      <c r="J186" s="574"/>
      <c r="K186" s="549"/>
      <c r="M186" s="557">
        <f t="shared" si="14"/>
        <v>0</v>
      </c>
      <c r="N186" s="3"/>
      <c r="O186" s="557">
        <f t="shared" si="12"/>
        <v>0</v>
      </c>
      <c r="Q186" s="543"/>
      <c r="S186" s="557">
        <f t="shared" si="13"/>
        <v>0</v>
      </c>
    </row>
    <row r="187" spans="2:19" s="496" customFormat="1" ht="12" hidden="1">
      <c r="B187" s="561">
        <v>175</v>
      </c>
      <c r="C187" s="572"/>
      <c r="D187" s="541"/>
      <c r="E187" s="541"/>
      <c r="F187" s="543"/>
      <c r="G187" s="36">
        <f t="shared" si="10"/>
        <v>0</v>
      </c>
      <c r="H187" s="554">
        <f>IF(Consolidado_Geral!$G$133=7.6%,-(0.0165+0.076)*F187,0)</f>
        <v>0</v>
      </c>
      <c r="I187" s="36">
        <f t="shared" si="11"/>
        <v>0</v>
      </c>
      <c r="J187" s="574"/>
      <c r="K187" s="549"/>
      <c r="M187" s="557">
        <f t="shared" si="14"/>
        <v>0</v>
      </c>
      <c r="N187" s="3"/>
      <c r="O187" s="557">
        <f t="shared" si="12"/>
        <v>0</v>
      </c>
      <c r="Q187" s="543"/>
      <c r="S187" s="557">
        <f t="shared" si="13"/>
        <v>0</v>
      </c>
    </row>
    <row r="188" spans="2:19" s="496" customFormat="1" ht="12" hidden="1">
      <c r="B188" s="561">
        <v>176</v>
      </c>
      <c r="C188" s="572"/>
      <c r="D188" s="541"/>
      <c r="E188" s="541"/>
      <c r="F188" s="543"/>
      <c r="G188" s="36">
        <f t="shared" si="10"/>
        <v>0</v>
      </c>
      <c r="H188" s="554">
        <f>IF(Consolidado_Geral!$G$133=7.6%,-(0.0165+0.076)*F188,0)</f>
        <v>0</v>
      </c>
      <c r="I188" s="36">
        <f t="shared" si="11"/>
        <v>0</v>
      </c>
      <c r="J188" s="574"/>
      <c r="K188" s="549"/>
      <c r="M188" s="557">
        <f t="shared" si="14"/>
        <v>0</v>
      </c>
      <c r="N188" s="3"/>
      <c r="O188" s="557">
        <f t="shared" si="12"/>
        <v>0</v>
      </c>
      <c r="Q188" s="543"/>
      <c r="S188" s="557">
        <f t="shared" si="13"/>
        <v>0</v>
      </c>
    </row>
    <row r="189" spans="2:19" s="496" customFormat="1" ht="12" hidden="1">
      <c r="B189" s="561">
        <v>177</v>
      </c>
      <c r="C189" s="572"/>
      <c r="D189" s="541"/>
      <c r="E189" s="541"/>
      <c r="F189" s="543"/>
      <c r="G189" s="36">
        <f t="shared" si="10"/>
        <v>0</v>
      </c>
      <c r="H189" s="554">
        <f>IF(Consolidado_Geral!$G$133=7.6%,-(0.0165+0.076)*F189,0)</f>
        <v>0</v>
      </c>
      <c r="I189" s="36">
        <f t="shared" si="11"/>
        <v>0</v>
      </c>
      <c r="J189" s="574"/>
      <c r="K189" s="549"/>
      <c r="M189" s="557">
        <f t="shared" si="14"/>
        <v>0</v>
      </c>
      <c r="N189" s="3"/>
      <c r="O189" s="557">
        <f t="shared" si="12"/>
        <v>0</v>
      </c>
      <c r="Q189" s="543"/>
      <c r="S189" s="557">
        <f t="shared" si="13"/>
        <v>0</v>
      </c>
    </row>
    <row r="190" spans="2:19" s="496" customFormat="1" ht="12" hidden="1">
      <c r="B190" s="561">
        <v>178</v>
      </c>
      <c r="C190" s="572"/>
      <c r="D190" s="541"/>
      <c r="E190" s="541"/>
      <c r="F190" s="543"/>
      <c r="G190" s="36">
        <f t="shared" si="10"/>
        <v>0</v>
      </c>
      <c r="H190" s="554">
        <f>IF(Consolidado_Geral!$G$133=7.6%,-(0.0165+0.076)*F190,0)</f>
        <v>0</v>
      </c>
      <c r="I190" s="36">
        <f t="shared" si="11"/>
        <v>0</v>
      </c>
      <c r="J190" s="574"/>
      <c r="K190" s="549"/>
      <c r="M190" s="557">
        <f t="shared" si="14"/>
        <v>0</v>
      </c>
      <c r="N190" s="3"/>
      <c r="O190" s="557">
        <f t="shared" si="12"/>
        <v>0</v>
      </c>
      <c r="Q190" s="543"/>
      <c r="S190" s="557">
        <f t="shared" si="13"/>
        <v>0</v>
      </c>
    </row>
    <row r="191" spans="2:19" s="496" customFormat="1" ht="12" hidden="1">
      <c r="B191" s="561">
        <v>179</v>
      </c>
      <c r="C191" s="572"/>
      <c r="D191" s="541"/>
      <c r="E191" s="541"/>
      <c r="F191" s="543"/>
      <c r="G191" s="36">
        <f t="shared" si="10"/>
        <v>0</v>
      </c>
      <c r="H191" s="554">
        <f>IF(Consolidado_Geral!$G$133=7.6%,-(0.0165+0.076)*F191,0)</f>
        <v>0</v>
      </c>
      <c r="I191" s="36">
        <f t="shared" si="11"/>
        <v>0</v>
      </c>
      <c r="J191" s="574"/>
      <c r="K191" s="549"/>
      <c r="M191" s="557">
        <f t="shared" si="14"/>
        <v>0</v>
      </c>
      <c r="N191" s="3"/>
      <c r="O191" s="557">
        <f t="shared" si="12"/>
        <v>0</v>
      </c>
      <c r="Q191" s="543"/>
      <c r="S191" s="557">
        <f t="shared" si="13"/>
        <v>0</v>
      </c>
    </row>
    <row r="192" spans="2:19" s="496" customFormat="1" ht="12" hidden="1">
      <c r="B192" s="561">
        <v>180</v>
      </c>
      <c r="C192" s="572"/>
      <c r="D192" s="541"/>
      <c r="E192" s="541"/>
      <c r="F192" s="543"/>
      <c r="G192" s="36">
        <f t="shared" si="10"/>
        <v>0</v>
      </c>
      <c r="H192" s="554">
        <f>IF(Consolidado_Geral!$G$133=7.6%,-(0.0165+0.076)*F192,0)</f>
        <v>0</v>
      </c>
      <c r="I192" s="36">
        <f t="shared" si="11"/>
        <v>0</v>
      </c>
      <c r="J192" s="574"/>
      <c r="K192" s="549"/>
      <c r="M192" s="557">
        <f t="shared" si="14"/>
        <v>0</v>
      </c>
      <c r="N192" s="3"/>
      <c r="O192" s="557">
        <f t="shared" si="12"/>
        <v>0</v>
      </c>
      <c r="Q192" s="543"/>
      <c r="S192" s="557">
        <f t="shared" si="13"/>
        <v>0</v>
      </c>
    </row>
    <row r="193" spans="2:19" s="496" customFormat="1" ht="12" hidden="1">
      <c r="B193" s="561">
        <v>181</v>
      </c>
      <c r="C193" s="572"/>
      <c r="D193" s="541"/>
      <c r="E193" s="541"/>
      <c r="F193" s="543"/>
      <c r="G193" s="36">
        <f t="shared" si="10"/>
        <v>0</v>
      </c>
      <c r="H193" s="554">
        <f>IF(Consolidado_Geral!$G$133=7.6%,-(0.0165+0.076)*F193,0)</f>
        <v>0</v>
      </c>
      <c r="I193" s="36">
        <f t="shared" si="11"/>
        <v>0</v>
      </c>
      <c r="J193" s="574"/>
      <c r="K193" s="549"/>
      <c r="M193" s="557">
        <f t="shared" si="14"/>
        <v>0</v>
      </c>
      <c r="N193" s="3"/>
      <c r="O193" s="557">
        <f t="shared" si="12"/>
        <v>0</v>
      </c>
      <c r="Q193" s="543"/>
      <c r="S193" s="557">
        <f t="shared" si="13"/>
        <v>0</v>
      </c>
    </row>
    <row r="194" spans="2:19" s="496" customFormat="1" ht="12" hidden="1">
      <c r="B194" s="561">
        <v>182</v>
      </c>
      <c r="C194" s="572"/>
      <c r="D194" s="541"/>
      <c r="E194" s="541"/>
      <c r="F194" s="543"/>
      <c r="G194" s="36">
        <f t="shared" si="10"/>
        <v>0</v>
      </c>
      <c r="H194" s="554">
        <f>IF(Consolidado_Geral!$G$133=7.6%,-(0.0165+0.076)*F194,0)</f>
        <v>0</v>
      </c>
      <c r="I194" s="36">
        <f t="shared" si="11"/>
        <v>0</v>
      </c>
      <c r="J194" s="574"/>
      <c r="K194" s="549"/>
      <c r="M194" s="557">
        <f t="shared" si="14"/>
        <v>0</v>
      </c>
      <c r="N194" s="3"/>
      <c r="O194" s="557">
        <f t="shared" si="12"/>
        <v>0</v>
      </c>
      <c r="Q194" s="543"/>
      <c r="S194" s="557">
        <f t="shared" si="13"/>
        <v>0</v>
      </c>
    </row>
    <row r="195" spans="2:19" s="496" customFormat="1" ht="12" hidden="1">
      <c r="B195" s="561">
        <v>183</v>
      </c>
      <c r="C195" s="572"/>
      <c r="D195" s="541"/>
      <c r="E195" s="541"/>
      <c r="F195" s="543"/>
      <c r="G195" s="36">
        <f t="shared" si="10"/>
        <v>0</v>
      </c>
      <c r="H195" s="554">
        <f>IF(Consolidado_Geral!$G$133=7.6%,-(0.0165+0.076)*F195,0)</f>
        <v>0</v>
      </c>
      <c r="I195" s="36">
        <f t="shared" si="11"/>
        <v>0</v>
      </c>
      <c r="J195" s="574"/>
      <c r="K195" s="549"/>
      <c r="M195" s="557">
        <f t="shared" si="14"/>
        <v>0</v>
      </c>
      <c r="N195" s="3"/>
      <c r="O195" s="557">
        <f t="shared" si="12"/>
        <v>0</v>
      </c>
      <c r="Q195" s="543"/>
      <c r="S195" s="557">
        <f t="shared" si="13"/>
        <v>0</v>
      </c>
    </row>
    <row r="196" spans="2:19" s="496" customFormat="1" ht="12" hidden="1">
      <c r="B196" s="561">
        <v>184</v>
      </c>
      <c r="C196" s="572"/>
      <c r="D196" s="541"/>
      <c r="E196" s="541"/>
      <c r="F196" s="543"/>
      <c r="G196" s="36">
        <f t="shared" si="10"/>
        <v>0</v>
      </c>
      <c r="H196" s="554">
        <f>IF(Consolidado_Geral!$G$133=7.6%,-(0.0165+0.076)*F196,0)</f>
        <v>0</v>
      </c>
      <c r="I196" s="36">
        <f t="shared" si="11"/>
        <v>0</v>
      </c>
      <c r="J196" s="574"/>
      <c r="K196" s="549"/>
      <c r="M196" s="557">
        <f t="shared" si="14"/>
        <v>0</v>
      </c>
      <c r="N196" s="3"/>
      <c r="O196" s="557">
        <f t="shared" si="12"/>
        <v>0</v>
      </c>
      <c r="Q196" s="543"/>
      <c r="S196" s="557">
        <f t="shared" si="13"/>
        <v>0</v>
      </c>
    </row>
    <row r="197" spans="2:19" s="496" customFormat="1" ht="12" hidden="1">
      <c r="B197" s="561">
        <v>185</v>
      </c>
      <c r="C197" s="572"/>
      <c r="D197" s="541"/>
      <c r="E197" s="541"/>
      <c r="F197" s="543"/>
      <c r="G197" s="36">
        <f t="shared" si="10"/>
        <v>0</v>
      </c>
      <c r="H197" s="554">
        <f>IF(Consolidado_Geral!$G$133=7.6%,-(0.0165+0.076)*F197,0)</f>
        <v>0</v>
      </c>
      <c r="I197" s="36">
        <f t="shared" si="11"/>
        <v>0</v>
      </c>
      <c r="J197" s="574"/>
      <c r="K197" s="549"/>
      <c r="M197" s="557">
        <f t="shared" si="14"/>
        <v>0</v>
      </c>
      <c r="N197" s="3"/>
      <c r="O197" s="557">
        <f t="shared" si="12"/>
        <v>0</v>
      </c>
      <c r="Q197" s="543"/>
      <c r="S197" s="557">
        <f t="shared" si="13"/>
        <v>0</v>
      </c>
    </row>
    <row r="198" spans="2:19" s="496" customFormat="1" ht="12" hidden="1">
      <c r="B198" s="561">
        <v>186</v>
      </c>
      <c r="C198" s="572"/>
      <c r="D198" s="541"/>
      <c r="E198" s="541"/>
      <c r="F198" s="543"/>
      <c r="G198" s="36">
        <f t="shared" si="10"/>
        <v>0</v>
      </c>
      <c r="H198" s="554">
        <f>IF(Consolidado_Geral!$G$133=7.6%,-(0.0165+0.076)*F198,0)</f>
        <v>0</v>
      </c>
      <c r="I198" s="36">
        <f t="shared" si="11"/>
        <v>0</v>
      </c>
      <c r="J198" s="574"/>
      <c r="K198" s="549"/>
      <c r="M198" s="557">
        <f t="shared" si="14"/>
        <v>0</v>
      </c>
      <c r="N198" s="3"/>
      <c r="O198" s="557">
        <f t="shared" si="12"/>
        <v>0</v>
      </c>
      <c r="Q198" s="543"/>
      <c r="S198" s="557">
        <f t="shared" si="13"/>
        <v>0</v>
      </c>
    </row>
    <row r="199" spans="2:19" s="496" customFormat="1" ht="12" hidden="1">
      <c r="B199" s="561">
        <v>187</v>
      </c>
      <c r="C199" s="572"/>
      <c r="D199" s="541"/>
      <c r="E199" s="541"/>
      <c r="F199" s="543"/>
      <c r="G199" s="36">
        <f t="shared" si="10"/>
        <v>0</v>
      </c>
      <c r="H199" s="554">
        <f>IF(Consolidado_Geral!$G$133=7.6%,-(0.0165+0.076)*F199,0)</f>
        <v>0</v>
      </c>
      <c r="I199" s="36">
        <f t="shared" si="11"/>
        <v>0</v>
      </c>
      <c r="J199" s="574"/>
      <c r="K199" s="549"/>
      <c r="M199" s="557">
        <f t="shared" si="14"/>
        <v>0</v>
      </c>
      <c r="N199" s="3"/>
      <c r="O199" s="557">
        <f t="shared" si="12"/>
        <v>0</v>
      </c>
      <c r="Q199" s="543"/>
      <c r="S199" s="557">
        <f t="shared" si="13"/>
        <v>0</v>
      </c>
    </row>
    <row r="200" spans="2:19" s="496" customFormat="1" ht="12" hidden="1">
      <c r="B200" s="561">
        <v>188</v>
      </c>
      <c r="C200" s="572"/>
      <c r="D200" s="541"/>
      <c r="E200" s="541"/>
      <c r="F200" s="543"/>
      <c r="G200" s="36">
        <f t="shared" si="10"/>
        <v>0</v>
      </c>
      <c r="H200" s="554">
        <f>IF(Consolidado_Geral!$G$133=7.6%,-(0.0165+0.076)*F200,0)</f>
        <v>0</v>
      </c>
      <c r="I200" s="36">
        <f t="shared" si="11"/>
        <v>0</v>
      </c>
      <c r="J200" s="574"/>
      <c r="K200" s="549"/>
      <c r="M200" s="557">
        <f t="shared" si="14"/>
        <v>0</v>
      </c>
      <c r="N200" s="3"/>
      <c r="O200" s="557">
        <f t="shared" si="12"/>
        <v>0</v>
      </c>
      <c r="Q200" s="543"/>
      <c r="S200" s="557">
        <f t="shared" si="13"/>
        <v>0</v>
      </c>
    </row>
    <row r="201" spans="2:19" s="496" customFormat="1" ht="12" hidden="1">
      <c r="B201" s="561">
        <v>189</v>
      </c>
      <c r="C201" s="572"/>
      <c r="D201" s="541"/>
      <c r="E201" s="541"/>
      <c r="F201" s="543"/>
      <c r="G201" s="36">
        <f t="shared" si="10"/>
        <v>0</v>
      </c>
      <c r="H201" s="554">
        <f>IF(Consolidado_Geral!$G$133=7.6%,-(0.0165+0.076)*F201,0)</f>
        <v>0</v>
      </c>
      <c r="I201" s="36">
        <f t="shared" si="11"/>
        <v>0</v>
      </c>
      <c r="J201" s="574"/>
      <c r="K201" s="549"/>
      <c r="M201" s="557">
        <f t="shared" si="14"/>
        <v>0</v>
      </c>
      <c r="N201" s="3"/>
      <c r="O201" s="557">
        <f t="shared" si="12"/>
        <v>0</v>
      </c>
      <c r="Q201" s="543"/>
      <c r="S201" s="557">
        <f t="shared" si="13"/>
        <v>0</v>
      </c>
    </row>
    <row r="202" spans="2:19" s="496" customFormat="1" ht="12" hidden="1">
      <c r="B202" s="561">
        <v>190</v>
      </c>
      <c r="C202" s="572"/>
      <c r="D202" s="541"/>
      <c r="E202" s="541"/>
      <c r="F202" s="543"/>
      <c r="G202" s="36">
        <f t="shared" si="10"/>
        <v>0</v>
      </c>
      <c r="H202" s="554">
        <f>IF(Consolidado_Geral!$G$133=7.6%,-(0.0165+0.076)*F202,0)</f>
        <v>0</v>
      </c>
      <c r="I202" s="36">
        <f t="shared" si="11"/>
        <v>0</v>
      </c>
      <c r="J202" s="574"/>
      <c r="K202" s="549"/>
      <c r="M202" s="557">
        <f t="shared" si="14"/>
        <v>0</v>
      </c>
      <c r="N202" s="3"/>
      <c r="O202" s="557">
        <f t="shared" si="12"/>
        <v>0</v>
      </c>
      <c r="Q202" s="543"/>
      <c r="S202" s="557">
        <f t="shared" si="13"/>
        <v>0</v>
      </c>
    </row>
    <row r="203" spans="2:19" s="496" customFormat="1" ht="12" hidden="1">
      <c r="B203" s="561">
        <v>191</v>
      </c>
      <c r="C203" s="572"/>
      <c r="D203" s="541"/>
      <c r="E203" s="541"/>
      <c r="F203" s="543"/>
      <c r="G203" s="36">
        <f t="shared" si="10"/>
        <v>0</v>
      </c>
      <c r="H203" s="554">
        <f>IF(Consolidado_Geral!$G$133=7.6%,-(0.0165+0.076)*F203,0)</f>
        <v>0</v>
      </c>
      <c r="I203" s="36">
        <f t="shared" si="11"/>
        <v>0</v>
      </c>
      <c r="J203" s="574"/>
      <c r="K203" s="549"/>
      <c r="M203" s="557">
        <f t="shared" si="14"/>
        <v>0</v>
      </c>
      <c r="N203" s="3"/>
      <c r="O203" s="557">
        <f t="shared" si="12"/>
        <v>0</v>
      </c>
      <c r="Q203" s="543"/>
      <c r="S203" s="557">
        <f t="shared" si="13"/>
        <v>0</v>
      </c>
    </row>
    <row r="204" spans="2:19" s="496" customFormat="1" ht="12" hidden="1">
      <c r="B204" s="561">
        <v>192</v>
      </c>
      <c r="C204" s="572"/>
      <c r="D204" s="541"/>
      <c r="E204" s="541"/>
      <c r="F204" s="543"/>
      <c r="G204" s="36">
        <f t="shared" si="10"/>
        <v>0</v>
      </c>
      <c r="H204" s="554">
        <f>IF(Consolidado_Geral!$G$133=7.6%,-(0.0165+0.076)*F204,0)</f>
        <v>0</v>
      </c>
      <c r="I204" s="36">
        <f t="shared" si="11"/>
        <v>0</v>
      </c>
      <c r="J204" s="574"/>
      <c r="K204" s="549"/>
      <c r="M204" s="557">
        <f t="shared" si="14"/>
        <v>0</v>
      </c>
      <c r="N204" s="3"/>
      <c r="O204" s="557">
        <f t="shared" si="12"/>
        <v>0</v>
      </c>
      <c r="Q204" s="543"/>
      <c r="S204" s="557">
        <f t="shared" si="13"/>
        <v>0</v>
      </c>
    </row>
    <row r="205" spans="2:19" s="496" customFormat="1" ht="12" hidden="1">
      <c r="B205" s="561">
        <v>193</v>
      </c>
      <c r="C205" s="572"/>
      <c r="D205" s="541"/>
      <c r="E205" s="541"/>
      <c r="F205" s="543"/>
      <c r="G205" s="36">
        <f t="shared" ref="G205:G268" si="15">F205*E205</f>
        <v>0</v>
      </c>
      <c r="H205" s="554">
        <f>IF(Consolidado_Geral!$G$133=7.6%,-(0.0165+0.076)*F205,0)</f>
        <v>0</v>
      </c>
      <c r="I205" s="36">
        <f t="shared" ref="I205:I268" si="16">H205*E205</f>
        <v>0</v>
      </c>
      <c r="J205" s="574"/>
      <c r="K205" s="549"/>
      <c r="M205" s="557">
        <f t="shared" si="14"/>
        <v>0</v>
      </c>
      <c r="N205" s="3"/>
      <c r="O205" s="557">
        <f t="shared" ref="O205:O268" si="17">IF(E205=0,0,(M205/K205)*E205)</f>
        <v>0</v>
      </c>
      <c r="Q205" s="543"/>
      <c r="S205" s="557">
        <f t="shared" ref="S205:S268" si="18">Q205*E205</f>
        <v>0</v>
      </c>
    </row>
    <row r="206" spans="2:19" s="496" customFormat="1" ht="12" hidden="1">
      <c r="B206" s="561">
        <v>194</v>
      </c>
      <c r="C206" s="572"/>
      <c r="D206" s="541"/>
      <c r="E206" s="541"/>
      <c r="F206" s="543"/>
      <c r="G206" s="36">
        <f t="shared" si="15"/>
        <v>0</v>
      </c>
      <c r="H206" s="554">
        <f>IF(Consolidado_Geral!$G$133=7.6%,-(0.0165+0.076)*F206,0)</f>
        <v>0</v>
      </c>
      <c r="I206" s="36">
        <f t="shared" si="16"/>
        <v>0</v>
      </c>
      <c r="J206" s="574"/>
      <c r="K206" s="549"/>
      <c r="M206" s="557">
        <f t="shared" ref="M206:M269" si="19">IF(E206&gt;0,(F206+H206)-J206,0)</f>
        <v>0</v>
      </c>
      <c r="N206" s="3"/>
      <c r="O206" s="557">
        <f t="shared" si="17"/>
        <v>0</v>
      </c>
      <c r="Q206" s="543"/>
      <c r="S206" s="557">
        <f t="shared" si="18"/>
        <v>0</v>
      </c>
    </row>
    <row r="207" spans="2:19" s="496" customFormat="1" ht="12" hidden="1">
      <c r="B207" s="561">
        <v>195</v>
      </c>
      <c r="C207" s="572"/>
      <c r="D207" s="541"/>
      <c r="E207" s="541"/>
      <c r="F207" s="543"/>
      <c r="G207" s="36">
        <f t="shared" si="15"/>
        <v>0</v>
      </c>
      <c r="H207" s="554">
        <f>IF(Consolidado_Geral!$G$133=7.6%,-(0.0165+0.076)*F207,0)</f>
        <v>0</v>
      </c>
      <c r="I207" s="36">
        <f t="shared" si="16"/>
        <v>0</v>
      </c>
      <c r="J207" s="574"/>
      <c r="K207" s="549"/>
      <c r="M207" s="557">
        <f t="shared" si="19"/>
        <v>0</v>
      </c>
      <c r="N207" s="3"/>
      <c r="O207" s="557">
        <f t="shared" si="17"/>
        <v>0</v>
      </c>
      <c r="Q207" s="543"/>
      <c r="S207" s="557">
        <f t="shared" si="18"/>
        <v>0</v>
      </c>
    </row>
    <row r="208" spans="2:19" s="496" customFormat="1" ht="12" hidden="1">
      <c r="B208" s="561">
        <v>196</v>
      </c>
      <c r="C208" s="572"/>
      <c r="D208" s="541"/>
      <c r="E208" s="541"/>
      <c r="F208" s="543"/>
      <c r="G208" s="36">
        <f t="shared" si="15"/>
        <v>0</v>
      </c>
      <c r="H208" s="554">
        <f>IF(Consolidado_Geral!$G$133=7.6%,-(0.0165+0.076)*F208,0)</f>
        <v>0</v>
      </c>
      <c r="I208" s="36">
        <f t="shared" si="16"/>
        <v>0</v>
      </c>
      <c r="J208" s="574"/>
      <c r="K208" s="549"/>
      <c r="M208" s="557">
        <f t="shared" si="19"/>
        <v>0</v>
      </c>
      <c r="N208" s="3"/>
      <c r="O208" s="557">
        <f t="shared" si="17"/>
        <v>0</v>
      </c>
      <c r="Q208" s="543"/>
      <c r="S208" s="557">
        <f t="shared" si="18"/>
        <v>0</v>
      </c>
    </row>
    <row r="209" spans="2:19" s="496" customFormat="1" ht="12" hidden="1">
      <c r="B209" s="561">
        <v>197</v>
      </c>
      <c r="C209" s="572"/>
      <c r="D209" s="541"/>
      <c r="E209" s="541"/>
      <c r="F209" s="543"/>
      <c r="G209" s="36">
        <f t="shared" si="15"/>
        <v>0</v>
      </c>
      <c r="H209" s="554">
        <f>IF(Consolidado_Geral!$G$133=7.6%,-(0.0165+0.076)*F209,0)</f>
        <v>0</v>
      </c>
      <c r="I209" s="36">
        <f t="shared" si="16"/>
        <v>0</v>
      </c>
      <c r="J209" s="574"/>
      <c r="K209" s="549"/>
      <c r="M209" s="557">
        <f t="shared" si="19"/>
        <v>0</v>
      </c>
      <c r="N209" s="3"/>
      <c r="O209" s="557">
        <f t="shared" si="17"/>
        <v>0</v>
      </c>
      <c r="Q209" s="543"/>
      <c r="S209" s="557">
        <f t="shared" si="18"/>
        <v>0</v>
      </c>
    </row>
    <row r="210" spans="2:19" s="496" customFormat="1" ht="12" hidden="1">
      <c r="B210" s="561">
        <v>198</v>
      </c>
      <c r="C210" s="572"/>
      <c r="D210" s="541"/>
      <c r="E210" s="541"/>
      <c r="F210" s="543"/>
      <c r="G210" s="36">
        <f t="shared" si="15"/>
        <v>0</v>
      </c>
      <c r="H210" s="554">
        <f>IF(Consolidado_Geral!$G$133=7.6%,-(0.0165+0.076)*F210,0)</f>
        <v>0</v>
      </c>
      <c r="I210" s="36">
        <f t="shared" si="16"/>
        <v>0</v>
      </c>
      <c r="J210" s="574"/>
      <c r="K210" s="549"/>
      <c r="M210" s="557">
        <f t="shared" si="19"/>
        <v>0</v>
      </c>
      <c r="N210" s="3"/>
      <c r="O210" s="557">
        <f t="shared" si="17"/>
        <v>0</v>
      </c>
      <c r="Q210" s="543"/>
      <c r="S210" s="557">
        <f t="shared" si="18"/>
        <v>0</v>
      </c>
    </row>
    <row r="211" spans="2:19" s="496" customFormat="1" ht="12" hidden="1">
      <c r="B211" s="561">
        <v>199</v>
      </c>
      <c r="C211" s="572"/>
      <c r="D211" s="541"/>
      <c r="E211" s="541"/>
      <c r="F211" s="543"/>
      <c r="G211" s="36">
        <f t="shared" si="15"/>
        <v>0</v>
      </c>
      <c r="H211" s="554">
        <f>IF(Consolidado_Geral!$G$133=7.6%,-(0.0165+0.076)*F211,0)</f>
        <v>0</v>
      </c>
      <c r="I211" s="36">
        <f t="shared" si="16"/>
        <v>0</v>
      </c>
      <c r="J211" s="574"/>
      <c r="K211" s="549"/>
      <c r="M211" s="557">
        <f t="shared" si="19"/>
        <v>0</v>
      </c>
      <c r="N211" s="3"/>
      <c r="O211" s="557">
        <f t="shared" si="17"/>
        <v>0</v>
      </c>
      <c r="Q211" s="543"/>
      <c r="S211" s="557">
        <f t="shared" si="18"/>
        <v>0</v>
      </c>
    </row>
    <row r="212" spans="2:19" s="496" customFormat="1" ht="12" hidden="1">
      <c r="B212" s="561">
        <v>200</v>
      </c>
      <c r="C212" s="572"/>
      <c r="D212" s="541"/>
      <c r="E212" s="541"/>
      <c r="F212" s="543"/>
      <c r="G212" s="36">
        <f t="shared" si="15"/>
        <v>0</v>
      </c>
      <c r="H212" s="554">
        <f>IF(Consolidado_Geral!$G$133=7.6%,-(0.0165+0.076)*F212,0)</f>
        <v>0</v>
      </c>
      <c r="I212" s="36">
        <f t="shared" si="16"/>
        <v>0</v>
      </c>
      <c r="J212" s="574"/>
      <c r="K212" s="549"/>
      <c r="M212" s="557">
        <f t="shared" si="19"/>
        <v>0</v>
      </c>
      <c r="N212" s="3"/>
      <c r="O212" s="557">
        <f t="shared" si="17"/>
        <v>0</v>
      </c>
      <c r="Q212" s="543"/>
      <c r="S212" s="557">
        <f t="shared" si="18"/>
        <v>0</v>
      </c>
    </row>
    <row r="213" spans="2:19" s="496" customFormat="1" ht="12" hidden="1">
      <c r="B213" s="561">
        <v>201</v>
      </c>
      <c r="C213" s="572"/>
      <c r="D213" s="541"/>
      <c r="E213" s="541"/>
      <c r="F213" s="543"/>
      <c r="G213" s="36">
        <f t="shared" si="15"/>
        <v>0</v>
      </c>
      <c r="H213" s="554">
        <f>IF(Consolidado_Geral!$G$133=7.6%,-(0.0165+0.076)*F213,0)</f>
        <v>0</v>
      </c>
      <c r="I213" s="36">
        <f t="shared" si="16"/>
        <v>0</v>
      </c>
      <c r="J213" s="574"/>
      <c r="K213" s="549"/>
      <c r="M213" s="557">
        <f t="shared" si="19"/>
        <v>0</v>
      </c>
      <c r="N213" s="3"/>
      <c r="O213" s="557">
        <f t="shared" si="17"/>
        <v>0</v>
      </c>
      <c r="Q213" s="543"/>
      <c r="S213" s="557">
        <f t="shared" si="18"/>
        <v>0</v>
      </c>
    </row>
    <row r="214" spans="2:19" s="496" customFormat="1" ht="12" hidden="1">
      <c r="B214" s="561">
        <v>202</v>
      </c>
      <c r="C214" s="572"/>
      <c r="D214" s="541"/>
      <c r="E214" s="541"/>
      <c r="F214" s="543"/>
      <c r="G214" s="36">
        <f t="shared" si="15"/>
        <v>0</v>
      </c>
      <c r="H214" s="554">
        <f>IF(Consolidado_Geral!$G$133=7.6%,-(0.0165+0.076)*F214,0)</f>
        <v>0</v>
      </c>
      <c r="I214" s="36">
        <f t="shared" si="16"/>
        <v>0</v>
      </c>
      <c r="J214" s="574"/>
      <c r="K214" s="549"/>
      <c r="M214" s="557">
        <f t="shared" si="19"/>
        <v>0</v>
      </c>
      <c r="N214" s="3"/>
      <c r="O214" s="557">
        <f t="shared" si="17"/>
        <v>0</v>
      </c>
      <c r="Q214" s="543"/>
      <c r="S214" s="557">
        <f t="shared" si="18"/>
        <v>0</v>
      </c>
    </row>
    <row r="215" spans="2:19" s="496" customFormat="1" ht="12" hidden="1">
      <c r="B215" s="561">
        <v>203</v>
      </c>
      <c r="C215" s="572"/>
      <c r="D215" s="541"/>
      <c r="E215" s="541"/>
      <c r="F215" s="543"/>
      <c r="G215" s="36">
        <f t="shared" si="15"/>
        <v>0</v>
      </c>
      <c r="H215" s="554">
        <f>IF(Consolidado_Geral!$G$133=7.6%,-(0.0165+0.076)*F215,0)</f>
        <v>0</v>
      </c>
      <c r="I215" s="36">
        <f t="shared" si="16"/>
        <v>0</v>
      </c>
      <c r="J215" s="574"/>
      <c r="K215" s="549"/>
      <c r="M215" s="557">
        <f t="shared" si="19"/>
        <v>0</v>
      </c>
      <c r="N215" s="3"/>
      <c r="O215" s="557">
        <f t="shared" si="17"/>
        <v>0</v>
      </c>
      <c r="Q215" s="543"/>
      <c r="S215" s="557">
        <f t="shared" si="18"/>
        <v>0</v>
      </c>
    </row>
    <row r="216" spans="2:19" s="496" customFormat="1" ht="12" hidden="1">
      <c r="B216" s="561">
        <v>204</v>
      </c>
      <c r="C216" s="572"/>
      <c r="D216" s="541"/>
      <c r="E216" s="541"/>
      <c r="F216" s="543"/>
      <c r="G216" s="36">
        <f t="shared" si="15"/>
        <v>0</v>
      </c>
      <c r="H216" s="554">
        <f>IF(Consolidado_Geral!$G$133=7.6%,-(0.0165+0.076)*F216,0)</f>
        <v>0</v>
      </c>
      <c r="I216" s="36">
        <f t="shared" si="16"/>
        <v>0</v>
      </c>
      <c r="J216" s="574"/>
      <c r="K216" s="549"/>
      <c r="M216" s="557">
        <f t="shared" si="19"/>
        <v>0</v>
      </c>
      <c r="N216" s="3"/>
      <c r="O216" s="557">
        <f t="shared" si="17"/>
        <v>0</v>
      </c>
      <c r="Q216" s="543"/>
      <c r="S216" s="557">
        <f t="shared" si="18"/>
        <v>0</v>
      </c>
    </row>
    <row r="217" spans="2:19" s="496" customFormat="1" ht="12" hidden="1">
      <c r="B217" s="561">
        <v>205</v>
      </c>
      <c r="C217" s="572"/>
      <c r="D217" s="541"/>
      <c r="E217" s="541"/>
      <c r="F217" s="543"/>
      <c r="G217" s="36">
        <f t="shared" si="15"/>
        <v>0</v>
      </c>
      <c r="H217" s="554">
        <f>IF(Consolidado_Geral!$G$133=7.6%,-(0.0165+0.076)*F217,0)</f>
        <v>0</v>
      </c>
      <c r="I217" s="36">
        <f t="shared" si="16"/>
        <v>0</v>
      </c>
      <c r="J217" s="574"/>
      <c r="K217" s="549"/>
      <c r="M217" s="557">
        <f t="shared" si="19"/>
        <v>0</v>
      </c>
      <c r="N217" s="3"/>
      <c r="O217" s="557">
        <f t="shared" si="17"/>
        <v>0</v>
      </c>
      <c r="Q217" s="543"/>
      <c r="S217" s="557">
        <f t="shared" si="18"/>
        <v>0</v>
      </c>
    </row>
    <row r="218" spans="2:19" s="496" customFormat="1" ht="12" hidden="1">
      <c r="B218" s="561">
        <v>206</v>
      </c>
      <c r="C218" s="572"/>
      <c r="D218" s="541"/>
      <c r="E218" s="541"/>
      <c r="F218" s="543"/>
      <c r="G218" s="36">
        <f t="shared" si="15"/>
        <v>0</v>
      </c>
      <c r="H218" s="554">
        <f>IF(Consolidado_Geral!$G$133=7.6%,-(0.0165+0.076)*F218,0)</f>
        <v>0</v>
      </c>
      <c r="I218" s="36">
        <f t="shared" si="16"/>
        <v>0</v>
      </c>
      <c r="J218" s="574"/>
      <c r="K218" s="549"/>
      <c r="M218" s="557">
        <f t="shared" si="19"/>
        <v>0</v>
      </c>
      <c r="N218" s="3"/>
      <c r="O218" s="557">
        <f t="shared" si="17"/>
        <v>0</v>
      </c>
      <c r="Q218" s="543"/>
      <c r="S218" s="557">
        <f t="shared" si="18"/>
        <v>0</v>
      </c>
    </row>
    <row r="219" spans="2:19" s="496" customFormat="1" ht="12" hidden="1">
      <c r="B219" s="561">
        <v>207</v>
      </c>
      <c r="C219" s="572"/>
      <c r="D219" s="541"/>
      <c r="E219" s="541"/>
      <c r="F219" s="543"/>
      <c r="G219" s="36">
        <f t="shared" si="15"/>
        <v>0</v>
      </c>
      <c r="H219" s="554">
        <f>IF(Consolidado_Geral!$G$133=7.6%,-(0.0165+0.076)*F219,0)</f>
        <v>0</v>
      </c>
      <c r="I219" s="36">
        <f t="shared" si="16"/>
        <v>0</v>
      </c>
      <c r="J219" s="574"/>
      <c r="K219" s="549"/>
      <c r="M219" s="557">
        <f t="shared" si="19"/>
        <v>0</v>
      </c>
      <c r="N219" s="3"/>
      <c r="O219" s="557">
        <f t="shared" si="17"/>
        <v>0</v>
      </c>
      <c r="Q219" s="543"/>
      <c r="S219" s="557">
        <f t="shared" si="18"/>
        <v>0</v>
      </c>
    </row>
    <row r="220" spans="2:19" s="496" customFormat="1" ht="12" hidden="1">
      <c r="B220" s="561">
        <v>208</v>
      </c>
      <c r="C220" s="572"/>
      <c r="D220" s="541"/>
      <c r="E220" s="541"/>
      <c r="F220" s="543"/>
      <c r="G220" s="36">
        <f t="shared" si="15"/>
        <v>0</v>
      </c>
      <c r="H220" s="554">
        <f>IF(Consolidado_Geral!$G$133=7.6%,-(0.0165+0.076)*F220,0)</f>
        <v>0</v>
      </c>
      <c r="I220" s="36">
        <f t="shared" si="16"/>
        <v>0</v>
      </c>
      <c r="J220" s="574"/>
      <c r="K220" s="549"/>
      <c r="M220" s="557">
        <f t="shared" si="19"/>
        <v>0</v>
      </c>
      <c r="N220" s="3"/>
      <c r="O220" s="557">
        <f t="shared" si="17"/>
        <v>0</v>
      </c>
      <c r="Q220" s="543"/>
      <c r="S220" s="557">
        <f t="shared" si="18"/>
        <v>0</v>
      </c>
    </row>
    <row r="221" spans="2:19" s="496" customFormat="1" ht="12" hidden="1">
      <c r="B221" s="561">
        <v>209</v>
      </c>
      <c r="C221" s="572"/>
      <c r="D221" s="541"/>
      <c r="E221" s="541"/>
      <c r="F221" s="543"/>
      <c r="G221" s="36">
        <f t="shared" si="15"/>
        <v>0</v>
      </c>
      <c r="H221" s="554">
        <f>IF(Consolidado_Geral!$G$133=7.6%,-(0.0165+0.076)*F221,0)</f>
        <v>0</v>
      </c>
      <c r="I221" s="36">
        <f t="shared" si="16"/>
        <v>0</v>
      </c>
      <c r="J221" s="574"/>
      <c r="K221" s="549"/>
      <c r="M221" s="557">
        <f t="shared" si="19"/>
        <v>0</v>
      </c>
      <c r="N221" s="3"/>
      <c r="O221" s="557">
        <f t="shared" si="17"/>
        <v>0</v>
      </c>
      <c r="Q221" s="543"/>
      <c r="S221" s="557">
        <f t="shared" si="18"/>
        <v>0</v>
      </c>
    </row>
    <row r="222" spans="2:19" s="496" customFormat="1" ht="12" hidden="1">
      <c r="B222" s="561">
        <v>210</v>
      </c>
      <c r="C222" s="572"/>
      <c r="D222" s="541"/>
      <c r="E222" s="541"/>
      <c r="F222" s="543"/>
      <c r="G222" s="36">
        <f t="shared" si="15"/>
        <v>0</v>
      </c>
      <c r="H222" s="554">
        <f>IF(Consolidado_Geral!$G$133=7.6%,-(0.0165+0.076)*F222,0)</f>
        <v>0</v>
      </c>
      <c r="I222" s="36">
        <f t="shared" si="16"/>
        <v>0</v>
      </c>
      <c r="J222" s="574"/>
      <c r="K222" s="549"/>
      <c r="M222" s="557">
        <f t="shared" si="19"/>
        <v>0</v>
      </c>
      <c r="N222" s="3"/>
      <c r="O222" s="557">
        <f t="shared" si="17"/>
        <v>0</v>
      </c>
      <c r="Q222" s="543"/>
      <c r="S222" s="557">
        <f t="shared" si="18"/>
        <v>0</v>
      </c>
    </row>
    <row r="223" spans="2:19" s="496" customFormat="1" ht="12" hidden="1">
      <c r="B223" s="561">
        <v>211</v>
      </c>
      <c r="C223" s="572"/>
      <c r="D223" s="541"/>
      <c r="E223" s="541"/>
      <c r="F223" s="543"/>
      <c r="G223" s="36">
        <f t="shared" si="15"/>
        <v>0</v>
      </c>
      <c r="H223" s="554">
        <f>IF(Consolidado_Geral!$G$133=7.6%,-(0.0165+0.076)*F223,0)</f>
        <v>0</v>
      </c>
      <c r="I223" s="36">
        <f t="shared" si="16"/>
        <v>0</v>
      </c>
      <c r="J223" s="574"/>
      <c r="K223" s="549"/>
      <c r="M223" s="557">
        <f t="shared" si="19"/>
        <v>0</v>
      </c>
      <c r="N223" s="3"/>
      <c r="O223" s="557">
        <f t="shared" si="17"/>
        <v>0</v>
      </c>
      <c r="Q223" s="543"/>
      <c r="S223" s="557">
        <f t="shared" si="18"/>
        <v>0</v>
      </c>
    </row>
    <row r="224" spans="2:19" s="496" customFormat="1" ht="12" hidden="1">
      <c r="B224" s="561">
        <v>212</v>
      </c>
      <c r="C224" s="572"/>
      <c r="D224" s="541"/>
      <c r="E224" s="541"/>
      <c r="F224" s="543"/>
      <c r="G224" s="36">
        <f t="shared" si="15"/>
        <v>0</v>
      </c>
      <c r="H224" s="554">
        <f>IF(Consolidado_Geral!$G$133=7.6%,-(0.0165+0.076)*F224,0)</f>
        <v>0</v>
      </c>
      <c r="I224" s="36">
        <f t="shared" si="16"/>
        <v>0</v>
      </c>
      <c r="J224" s="574"/>
      <c r="K224" s="549"/>
      <c r="M224" s="557">
        <f t="shared" si="19"/>
        <v>0</v>
      </c>
      <c r="N224" s="3"/>
      <c r="O224" s="557">
        <f t="shared" si="17"/>
        <v>0</v>
      </c>
      <c r="Q224" s="543"/>
      <c r="S224" s="557">
        <f t="shared" si="18"/>
        <v>0</v>
      </c>
    </row>
    <row r="225" spans="2:19" s="496" customFormat="1" ht="12" hidden="1">
      <c r="B225" s="561">
        <v>213</v>
      </c>
      <c r="C225" s="572"/>
      <c r="D225" s="541"/>
      <c r="E225" s="541"/>
      <c r="F225" s="543"/>
      <c r="G225" s="36">
        <f t="shared" si="15"/>
        <v>0</v>
      </c>
      <c r="H225" s="554">
        <f>IF(Consolidado_Geral!$G$133=7.6%,-(0.0165+0.076)*F225,0)</f>
        <v>0</v>
      </c>
      <c r="I225" s="36">
        <f t="shared" si="16"/>
        <v>0</v>
      </c>
      <c r="J225" s="574"/>
      <c r="K225" s="549"/>
      <c r="M225" s="557">
        <f t="shared" si="19"/>
        <v>0</v>
      </c>
      <c r="N225" s="3"/>
      <c r="O225" s="557">
        <f t="shared" si="17"/>
        <v>0</v>
      </c>
      <c r="Q225" s="543"/>
      <c r="S225" s="557">
        <f t="shared" si="18"/>
        <v>0</v>
      </c>
    </row>
    <row r="226" spans="2:19" s="496" customFormat="1" ht="12" hidden="1">
      <c r="B226" s="561">
        <v>214</v>
      </c>
      <c r="C226" s="572"/>
      <c r="D226" s="541"/>
      <c r="E226" s="541"/>
      <c r="F226" s="543"/>
      <c r="G226" s="36">
        <f t="shared" si="15"/>
        <v>0</v>
      </c>
      <c r="H226" s="554">
        <f>IF(Consolidado_Geral!$G$133=7.6%,-(0.0165+0.076)*F226,0)</f>
        <v>0</v>
      </c>
      <c r="I226" s="36">
        <f t="shared" si="16"/>
        <v>0</v>
      </c>
      <c r="J226" s="574"/>
      <c r="K226" s="549"/>
      <c r="M226" s="557">
        <f t="shared" si="19"/>
        <v>0</v>
      </c>
      <c r="N226" s="3"/>
      <c r="O226" s="557">
        <f t="shared" si="17"/>
        <v>0</v>
      </c>
      <c r="Q226" s="543"/>
      <c r="S226" s="557">
        <f t="shared" si="18"/>
        <v>0</v>
      </c>
    </row>
    <row r="227" spans="2:19" s="496" customFormat="1" ht="12" hidden="1">
      <c r="B227" s="561">
        <v>215</v>
      </c>
      <c r="C227" s="572"/>
      <c r="D227" s="541"/>
      <c r="E227" s="541"/>
      <c r="F227" s="543"/>
      <c r="G227" s="36">
        <f t="shared" si="15"/>
        <v>0</v>
      </c>
      <c r="H227" s="554">
        <f>IF(Consolidado_Geral!$G$133=7.6%,-(0.0165+0.076)*F227,0)</f>
        <v>0</v>
      </c>
      <c r="I227" s="36">
        <f t="shared" si="16"/>
        <v>0</v>
      </c>
      <c r="J227" s="574"/>
      <c r="K227" s="549"/>
      <c r="M227" s="557">
        <f t="shared" si="19"/>
        <v>0</v>
      </c>
      <c r="N227" s="3"/>
      <c r="O227" s="557">
        <f t="shared" si="17"/>
        <v>0</v>
      </c>
      <c r="Q227" s="543"/>
      <c r="S227" s="557">
        <f t="shared" si="18"/>
        <v>0</v>
      </c>
    </row>
    <row r="228" spans="2:19" s="496" customFormat="1" ht="12" hidden="1">
      <c r="B228" s="561">
        <v>216</v>
      </c>
      <c r="C228" s="572"/>
      <c r="D228" s="541"/>
      <c r="E228" s="541"/>
      <c r="F228" s="543"/>
      <c r="G228" s="36">
        <f t="shared" si="15"/>
        <v>0</v>
      </c>
      <c r="H228" s="554">
        <f>IF(Consolidado_Geral!$G$133=7.6%,-(0.0165+0.076)*F228,0)</f>
        <v>0</v>
      </c>
      <c r="I228" s="36">
        <f t="shared" si="16"/>
        <v>0</v>
      </c>
      <c r="J228" s="574"/>
      <c r="K228" s="549"/>
      <c r="M228" s="557">
        <f t="shared" si="19"/>
        <v>0</v>
      </c>
      <c r="N228" s="3"/>
      <c r="O228" s="557">
        <f t="shared" si="17"/>
        <v>0</v>
      </c>
      <c r="Q228" s="543"/>
      <c r="S228" s="557">
        <f t="shared" si="18"/>
        <v>0</v>
      </c>
    </row>
    <row r="229" spans="2:19" s="496" customFormat="1" ht="12" hidden="1">
      <c r="B229" s="561">
        <v>217</v>
      </c>
      <c r="C229" s="572"/>
      <c r="D229" s="541"/>
      <c r="E229" s="541"/>
      <c r="F229" s="543"/>
      <c r="G229" s="36">
        <f t="shared" si="15"/>
        <v>0</v>
      </c>
      <c r="H229" s="554">
        <f>IF(Consolidado_Geral!$G$133=7.6%,-(0.0165+0.076)*F229,0)</f>
        <v>0</v>
      </c>
      <c r="I229" s="36">
        <f t="shared" si="16"/>
        <v>0</v>
      </c>
      <c r="J229" s="574"/>
      <c r="K229" s="549"/>
      <c r="M229" s="557">
        <f t="shared" si="19"/>
        <v>0</v>
      </c>
      <c r="N229" s="3"/>
      <c r="O229" s="557">
        <f t="shared" si="17"/>
        <v>0</v>
      </c>
      <c r="Q229" s="543"/>
      <c r="S229" s="557">
        <f t="shared" si="18"/>
        <v>0</v>
      </c>
    </row>
    <row r="230" spans="2:19" s="496" customFormat="1" ht="12" hidden="1">
      <c r="B230" s="561">
        <v>218</v>
      </c>
      <c r="C230" s="572"/>
      <c r="D230" s="541"/>
      <c r="E230" s="541"/>
      <c r="F230" s="543"/>
      <c r="G230" s="36">
        <f t="shared" si="15"/>
        <v>0</v>
      </c>
      <c r="H230" s="554">
        <f>IF(Consolidado_Geral!$G$133=7.6%,-(0.0165+0.076)*F230,0)</f>
        <v>0</v>
      </c>
      <c r="I230" s="36">
        <f t="shared" si="16"/>
        <v>0</v>
      </c>
      <c r="J230" s="574"/>
      <c r="K230" s="549"/>
      <c r="M230" s="557">
        <f t="shared" si="19"/>
        <v>0</v>
      </c>
      <c r="N230" s="3"/>
      <c r="O230" s="557">
        <f t="shared" si="17"/>
        <v>0</v>
      </c>
      <c r="Q230" s="543"/>
      <c r="S230" s="557">
        <f t="shared" si="18"/>
        <v>0</v>
      </c>
    </row>
    <row r="231" spans="2:19" s="496" customFormat="1" ht="12" hidden="1">
      <c r="B231" s="561">
        <v>219</v>
      </c>
      <c r="C231" s="572"/>
      <c r="D231" s="541"/>
      <c r="E231" s="541"/>
      <c r="F231" s="543"/>
      <c r="G231" s="36">
        <f t="shared" si="15"/>
        <v>0</v>
      </c>
      <c r="H231" s="554">
        <f>IF(Consolidado_Geral!$G$133=7.6%,-(0.0165+0.076)*F231,0)</f>
        <v>0</v>
      </c>
      <c r="I231" s="36">
        <f t="shared" si="16"/>
        <v>0</v>
      </c>
      <c r="J231" s="574"/>
      <c r="K231" s="549"/>
      <c r="M231" s="557">
        <f t="shared" si="19"/>
        <v>0</v>
      </c>
      <c r="N231" s="3"/>
      <c r="O231" s="557">
        <f t="shared" si="17"/>
        <v>0</v>
      </c>
      <c r="Q231" s="543"/>
      <c r="S231" s="557">
        <f t="shared" si="18"/>
        <v>0</v>
      </c>
    </row>
    <row r="232" spans="2:19" s="496" customFormat="1" ht="12" hidden="1">
      <c r="B232" s="561">
        <v>220</v>
      </c>
      <c r="C232" s="572"/>
      <c r="D232" s="541"/>
      <c r="E232" s="541"/>
      <c r="F232" s="543"/>
      <c r="G232" s="36">
        <f t="shared" si="15"/>
        <v>0</v>
      </c>
      <c r="H232" s="554">
        <f>IF(Consolidado_Geral!$G$133=7.6%,-(0.0165+0.076)*F232,0)</f>
        <v>0</v>
      </c>
      <c r="I232" s="36">
        <f t="shared" si="16"/>
        <v>0</v>
      </c>
      <c r="J232" s="574"/>
      <c r="K232" s="549"/>
      <c r="M232" s="557">
        <f t="shared" si="19"/>
        <v>0</v>
      </c>
      <c r="N232" s="3"/>
      <c r="O232" s="557">
        <f t="shared" si="17"/>
        <v>0</v>
      </c>
      <c r="Q232" s="543"/>
      <c r="S232" s="557">
        <f t="shared" si="18"/>
        <v>0</v>
      </c>
    </row>
    <row r="233" spans="2:19" s="496" customFormat="1" ht="12" hidden="1">
      <c r="B233" s="561">
        <v>221</v>
      </c>
      <c r="C233" s="572"/>
      <c r="D233" s="541"/>
      <c r="E233" s="541"/>
      <c r="F233" s="543"/>
      <c r="G233" s="36">
        <f t="shared" si="15"/>
        <v>0</v>
      </c>
      <c r="H233" s="554">
        <f>IF(Consolidado_Geral!$G$133=7.6%,-(0.0165+0.076)*F233,0)</f>
        <v>0</v>
      </c>
      <c r="I233" s="36">
        <f t="shared" si="16"/>
        <v>0</v>
      </c>
      <c r="J233" s="574"/>
      <c r="K233" s="549"/>
      <c r="M233" s="557">
        <f t="shared" si="19"/>
        <v>0</v>
      </c>
      <c r="N233" s="3"/>
      <c r="O233" s="557">
        <f t="shared" si="17"/>
        <v>0</v>
      </c>
      <c r="Q233" s="543"/>
      <c r="S233" s="557">
        <f t="shared" si="18"/>
        <v>0</v>
      </c>
    </row>
    <row r="234" spans="2:19" s="496" customFormat="1" ht="12" hidden="1">
      <c r="B234" s="561">
        <v>222</v>
      </c>
      <c r="C234" s="572"/>
      <c r="D234" s="541"/>
      <c r="E234" s="541"/>
      <c r="F234" s="543"/>
      <c r="G234" s="36">
        <f t="shared" si="15"/>
        <v>0</v>
      </c>
      <c r="H234" s="554">
        <f>IF(Consolidado_Geral!$G$133=7.6%,-(0.0165+0.076)*F234,0)</f>
        <v>0</v>
      </c>
      <c r="I234" s="36">
        <f t="shared" si="16"/>
        <v>0</v>
      </c>
      <c r="J234" s="574"/>
      <c r="K234" s="549"/>
      <c r="M234" s="557">
        <f t="shared" si="19"/>
        <v>0</v>
      </c>
      <c r="N234" s="3"/>
      <c r="O234" s="557">
        <f t="shared" si="17"/>
        <v>0</v>
      </c>
      <c r="Q234" s="543"/>
      <c r="S234" s="557">
        <f t="shared" si="18"/>
        <v>0</v>
      </c>
    </row>
    <row r="235" spans="2:19" s="496" customFormat="1" ht="12" hidden="1">
      <c r="B235" s="561">
        <v>223</v>
      </c>
      <c r="C235" s="572"/>
      <c r="D235" s="541"/>
      <c r="E235" s="541"/>
      <c r="F235" s="543"/>
      <c r="G235" s="36">
        <f t="shared" si="15"/>
        <v>0</v>
      </c>
      <c r="H235" s="554">
        <f>IF(Consolidado_Geral!$G$133=7.6%,-(0.0165+0.076)*F235,0)</f>
        <v>0</v>
      </c>
      <c r="I235" s="36">
        <f t="shared" si="16"/>
        <v>0</v>
      </c>
      <c r="J235" s="574"/>
      <c r="K235" s="549"/>
      <c r="M235" s="557">
        <f t="shared" si="19"/>
        <v>0</v>
      </c>
      <c r="N235" s="3"/>
      <c r="O235" s="557">
        <f t="shared" si="17"/>
        <v>0</v>
      </c>
      <c r="Q235" s="543"/>
      <c r="S235" s="557">
        <f t="shared" si="18"/>
        <v>0</v>
      </c>
    </row>
    <row r="236" spans="2:19" s="496" customFormat="1" ht="12" hidden="1">
      <c r="B236" s="561">
        <v>224</v>
      </c>
      <c r="C236" s="572"/>
      <c r="D236" s="541"/>
      <c r="E236" s="541"/>
      <c r="F236" s="543"/>
      <c r="G236" s="36">
        <f t="shared" si="15"/>
        <v>0</v>
      </c>
      <c r="H236" s="554">
        <f>IF(Consolidado_Geral!$G$133=7.6%,-(0.0165+0.076)*F236,0)</f>
        <v>0</v>
      </c>
      <c r="I236" s="36">
        <f t="shared" si="16"/>
        <v>0</v>
      </c>
      <c r="J236" s="574"/>
      <c r="K236" s="549"/>
      <c r="M236" s="557">
        <f t="shared" si="19"/>
        <v>0</v>
      </c>
      <c r="N236" s="3"/>
      <c r="O236" s="557">
        <f t="shared" si="17"/>
        <v>0</v>
      </c>
      <c r="Q236" s="543"/>
      <c r="S236" s="557">
        <f t="shared" si="18"/>
        <v>0</v>
      </c>
    </row>
    <row r="237" spans="2:19" s="496" customFormat="1" ht="12" hidden="1">
      <c r="B237" s="561">
        <v>225</v>
      </c>
      <c r="C237" s="572"/>
      <c r="D237" s="541"/>
      <c r="E237" s="541"/>
      <c r="F237" s="543"/>
      <c r="G237" s="36">
        <f t="shared" si="15"/>
        <v>0</v>
      </c>
      <c r="H237" s="554">
        <f>IF(Consolidado_Geral!$G$133=7.6%,-(0.0165+0.076)*F237,0)</f>
        <v>0</v>
      </c>
      <c r="I237" s="36">
        <f t="shared" si="16"/>
        <v>0</v>
      </c>
      <c r="J237" s="574"/>
      <c r="K237" s="549"/>
      <c r="M237" s="557">
        <f t="shared" si="19"/>
        <v>0</v>
      </c>
      <c r="N237" s="3"/>
      <c r="O237" s="557">
        <f t="shared" si="17"/>
        <v>0</v>
      </c>
      <c r="Q237" s="543"/>
      <c r="S237" s="557">
        <f t="shared" si="18"/>
        <v>0</v>
      </c>
    </row>
    <row r="238" spans="2:19" s="496" customFormat="1" ht="12" hidden="1">
      <c r="B238" s="561">
        <v>226</v>
      </c>
      <c r="C238" s="572"/>
      <c r="D238" s="541"/>
      <c r="E238" s="541"/>
      <c r="F238" s="543"/>
      <c r="G238" s="36">
        <f t="shared" si="15"/>
        <v>0</v>
      </c>
      <c r="H238" s="554">
        <f>IF(Consolidado_Geral!$G$133=7.6%,-(0.0165+0.076)*F238,0)</f>
        <v>0</v>
      </c>
      <c r="I238" s="36">
        <f t="shared" si="16"/>
        <v>0</v>
      </c>
      <c r="J238" s="574"/>
      <c r="K238" s="549"/>
      <c r="M238" s="557">
        <f t="shared" si="19"/>
        <v>0</v>
      </c>
      <c r="N238" s="3"/>
      <c r="O238" s="557">
        <f t="shared" si="17"/>
        <v>0</v>
      </c>
      <c r="Q238" s="543"/>
      <c r="S238" s="557">
        <f t="shared" si="18"/>
        <v>0</v>
      </c>
    </row>
    <row r="239" spans="2:19" s="496" customFormat="1" ht="12" hidden="1">
      <c r="B239" s="561">
        <v>227</v>
      </c>
      <c r="C239" s="572"/>
      <c r="D239" s="541"/>
      <c r="E239" s="541"/>
      <c r="F239" s="543"/>
      <c r="G239" s="36">
        <f t="shared" si="15"/>
        <v>0</v>
      </c>
      <c r="H239" s="554">
        <f>IF(Consolidado_Geral!$G$133=7.6%,-(0.0165+0.076)*F239,0)</f>
        <v>0</v>
      </c>
      <c r="I239" s="36">
        <f t="shared" si="16"/>
        <v>0</v>
      </c>
      <c r="J239" s="574"/>
      <c r="K239" s="549"/>
      <c r="M239" s="557">
        <f t="shared" si="19"/>
        <v>0</v>
      </c>
      <c r="N239" s="3"/>
      <c r="O239" s="557">
        <f t="shared" si="17"/>
        <v>0</v>
      </c>
      <c r="Q239" s="543"/>
      <c r="S239" s="557">
        <f t="shared" si="18"/>
        <v>0</v>
      </c>
    </row>
    <row r="240" spans="2:19" s="496" customFormat="1" ht="12" hidden="1">
      <c r="B240" s="561">
        <v>228</v>
      </c>
      <c r="C240" s="572"/>
      <c r="D240" s="541"/>
      <c r="E240" s="541"/>
      <c r="F240" s="543"/>
      <c r="G240" s="36">
        <f t="shared" si="15"/>
        <v>0</v>
      </c>
      <c r="H240" s="554">
        <f>IF(Consolidado_Geral!$G$133=7.6%,-(0.0165+0.076)*F240,0)</f>
        <v>0</v>
      </c>
      <c r="I240" s="36">
        <f t="shared" si="16"/>
        <v>0</v>
      </c>
      <c r="J240" s="574"/>
      <c r="K240" s="549"/>
      <c r="M240" s="557">
        <f t="shared" si="19"/>
        <v>0</v>
      </c>
      <c r="N240" s="3"/>
      <c r="O240" s="557">
        <f t="shared" si="17"/>
        <v>0</v>
      </c>
      <c r="Q240" s="543"/>
      <c r="S240" s="557">
        <f t="shared" si="18"/>
        <v>0</v>
      </c>
    </row>
    <row r="241" spans="2:19" s="496" customFormat="1" ht="12" hidden="1">
      <c r="B241" s="561">
        <v>229</v>
      </c>
      <c r="C241" s="572"/>
      <c r="D241" s="541"/>
      <c r="E241" s="541"/>
      <c r="F241" s="543"/>
      <c r="G241" s="36">
        <f t="shared" si="15"/>
        <v>0</v>
      </c>
      <c r="H241" s="554">
        <f>IF(Consolidado_Geral!$G$133=7.6%,-(0.0165+0.076)*F241,0)</f>
        <v>0</v>
      </c>
      <c r="I241" s="36">
        <f t="shared" si="16"/>
        <v>0</v>
      </c>
      <c r="J241" s="574"/>
      <c r="K241" s="549"/>
      <c r="M241" s="557">
        <f t="shared" si="19"/>
        <v>0</v>
      </c>
      <c r="N241" s="3"/>
      <c r="O241" s="557">
        <f t="shared" si="17"/>
        <v>0</v>
      </c>
      <c r="Q241" s="543"/>
      <c r="S241" s="557">
        <f t="shared" si="18"/>
        <v>0</v>
      </c>
    </row>
    <row r="242" spans="2:19" s="496" customFormat="1" ht="12" hidden="1">
      <c r="B242" s="561">
        <v>230</v>
      </c>
      <c r="C242" s="572"/>
      <c r="D242" s="541"/>
      <c r="E242" s="541"/>
      <c r="F242" s="543"/>
      <c r="G242" s="36">
        <f t="shared" si="15"/>
        <v>0</v>
      </c>
      <c r="H242" s="554">
        <f>IF(Consolidado_Geral!$G$133=7.6%,-(0.0165+0.076)*F242,0)</f>
        <v>0</v>
      </c>
      <c r="I242" s="36">
        <f t="shared" si="16"/>
        <v>0</v>
      </c>
      <c r="J242" s="574"/>
      <c r="K242" s="549"/>
      <c r="M242" s="557">
        <f t="shared" si="19"/>
        <v>0</v>
      </c>
      <c r="N242" s="3"/>
      <c r="O242" s="557">
        <f t="shared" si="17"/>
        <v>0</v>
      </c>
      <c r="Q242" s="543"/>
      <c r="S242" s="557">
        <f t="shared" si="18"/>
        <v>0</v>
      </c>
    </row>
    <row r="243" spans="2:19" s="496" customFormat="1" ht="12" hidden="1">
      <c r="B243" s="561">
        <v>231</v>
      </c>
      <c r="C243" s="572"/>
      <c r="D243" s="541"/>
      <c r="E243" s="541"/>
      <c r="F243" s="543"/>
      <c r="G243" s="36">
        <f t="shared" si="15"/>
        <v>0</v>
      </c>
      <c r="H243" s="554">
        <f>IF(Consolidado_Geral!$G$133=7.6%,-(0.0165+0.076)*F243,0)</f>
        <v>0</v>
      </c>
      <c r="I243" s="36">
        <f t="shared" si="16"/>
        <v>0</v>
      </c>
      <c r="J243" s="574"/>
      <c r="K243" s="549"/>
      <c r="M243" s="557">
        <f t="shared" si="19"/>
        <v>0</v>
      </c>
      <c r="N243" s="3"/>
      <c r="O243" s="557">
        <f t="shared" si="17"/>
        <v>0</v>
      </c>
      <c r="Q243" s="543"/>
      <c r="S243" s="557">
        <f t="shared" si="18"/>
        <v>0</v>
      </c>
    </row>
    <row r="244" spans="2:19" s="496" customFormat="1" ht="12" hidden="1">
      <c r="B244" s="561">
        <v>232</v>
      </c>
      <c r="C244" s="572"/>
      <c r="D244" s="541"/>
      <c r="E244" s="541"/>
      <c r="F244" s="543"/>
      <c r="G244" s="36">
        <f t="shared" si="15"/>
        <v>0</v>
      </c>
      <c r="H244" s="554">
        <f>IF(Consolidado_Geral!$G$133=7.6%,-(0.0165+0.076)*F244,0)</f>
        <v>0</v>
      </c>
      <c r="I244" s="36">
        <f t="shared" si="16"/>
        <v>0</v>
      </c>
      <c r="J244" s="574"/>
      <c r="K244" s="549"/>
      <c r="M244" s="557">
        <f t="shared" si="19"/>
        <v>0</v>
      </c>
      <c r="N244" s="3"/>
      <c r="O244" s="557">
        <f t="shared" si="17"/>
        <v>0</v>
      </c>
      <c r="Q244" s="543"/>
      <c r="S244" s="557">
        <f t="shared" si="18"/>
        <v>0</v>
      </c>
    </row>
    <row r="245" spans="2:19" s="496" customFormat="1" ht="12" hidden="1">
      <c r="B245" s="561">
        <v>233</v>
      </c>
      <c r="C245" s="572"/>
      <c r="D245" s="541"/>
      <c r="E245" s="541"/>
      <c r="F245" s="543"/>
      <c r="G245" s="36">
        <f t="shared" si="15"/>
        <v>0</v>
      </c>
      <c r="H245" s="554">
        <f>IF(Consolidado_Geral!$G$133=7.6%,-(0.0165+0.076)*F245,0)</f>
        <v>0</v>
      </c>
      <c r="I245" s="36">
        <f t="shared" si="16"/>
        <v>0</v>
      </c>
      <c r="J245" s="574"/>
      <c r="K245" s="549"/>
      <c r="M245" s="557">
        <f t="shared" si="19"/>
        <v>0</v>
      </c>
      <c r="N245" s="3"/>
      <c r="O245" s="557">
        <f t="shared" si="17"/>
        <v>0</v>
      </c>
      <c r="Q245" s="543"/>
      <c r="S245" s="557">
        <f t="shared" si="18"/>
        <v>0</v>
      </c>
    </row>
    <row r="246" spans="2:19" s="496" customFormat="1" ht="12" hidden="1">
      <c r="B246" s="561">
        <v>234</v>
      </c>
      <c r="C246" s="572"/>
      <c r="D246" s="541"/>
      <c r="E246" s="541"/>
      <c r="F246" s="543"/>
      <c r="G246" s="36">
        <f t="shared" si="15"/>
        <v>0</v>
      </c>
      <c r="H246" s="554">
        <f>IF(Consolidado_Geral!$G$133=7.6%,-(0.0165+0.076)*F246,0)</f>
        <v>0</v>
      </c>
      <c r="I246" s="36">
        <f t="shared" si="16"/>
        <v>0</v>
      </c>
      <c r="J246" s="574"/>
      <c r="K246" s="549"/>
      <c r="M246" s="557">
        <f t="shared" si="19"/>
        <v>0</v>
      </c>
      <c r="N246" s="3"/>
      <c r="O246" s="557">
        <f t="shared" si="17"/>
        <v>0</v>
      </c>
      <c r="Q246" s="543"/>
      <c r="S246" s="557">
        <f t="shared" si="18"/>
        <v>0</v>
      </c>
    </row>
    <row r="247" spans="2:19" s="496" customFormat="1" ht="12" hidden="1">
      <c r="B247" s="561">
        <v>235</v>
      </c>
      <c r="C247" s="572"/>
      <c r="D247" s="541"/>
      <c r="E247" s="541"/>
      <c r="F247" s="543"/>
      <c r="G247" s="36">
        <f t="shared" si="15"/>
        <v>0</v>
      </c>
      <c r="H247" s="554">
        <f>IF(Consolidado_Geral!$G$133=7.6%,-(0.0165+0.076)*F247,0)</f>
        <v>0</v>
      </c>
      <c r="I247" s="36">
        <f t="shared" si="16"/>
        <v>0</v>
      </c>
      <c r="J247" s="574"/>
      <c r="K247" s="549"/>
      <c r="M247" s="557">
        <f t="shared" si="19"/>
        <v>0</v>
      </c>
      <c r="N247" s="3"/>
      <c r="O247" s="557">
        <f t="shared" si="17"/>
        <v>0</v>
      </c>
      <c r="Q247" s="543"/>
      <c r="S247" s="557">
        <f t="shared" si="18"/>
        <v>0</v>
      </c>
    </row>
    <row r="248" spans="2:19" s="496" customFormat="1" ht="12" hidden="1">
      <c r="B248" s="561">
        <v>236</v>
      </c>
      <c r="C248" s="572"/>
      <c r="D248" s="541"/>
      <c r="E248" s="541"/>
      <c r="F248" s="543"/>
      <c r="G248" s="36">
        <f t="shared" si="15"/>
        <v>0</v>
      </c>
      <c r="H248" s="554">
        <f>IF(Consolidado_Geral!$G$133=7.6%,-(0.0165+0.076)*F248,0)</f>
        <v>0</v>
      </c>
      <c r="I248" s="36">
        <f t="shared" si="16"/>
        <v>0</v>
      </c>
      <c r="J248" s="574"/>
      <c r="K248" s="549"/>
      <c r="M248" s="557">
        <f t="shared" si="19"/>
        <v>0</v>
      </c>
      <c r="N248" s="3"/>
      <c r="O248" s="557">
        <f t="shared" si="17"/>
        <v>0</v>
      </c>
      <c r="Q248" s="543"/>
      <c r="S248" s="557">
        <f t="shared" si="18"/>
        <v>0</v>
      </c>
    </row>
    <row r="249" spans="2:19" s="496" customFormat="1" ht="12" hidden="1">
      <c r="B249" s="561">
        <v>237</v>
      </c>
      <c r="C249" s="572"/>
      <c r="D249" s="541"/>
      <c r="E249" s="541"/>
      <c r="F249" s="543"/>
      <c r="G249" s="36">
        <f t="shared" si="15"/>
        <v>0</v>
      </c>
      <c r="H249" s="554">
        <f>IF(Consolidado_Geral!$G$133=7.6%,-(0.0165+0.076)*F249,0)</f>
        <v>0</v>
      </c>
      <c r="I249" s="36">
        <f t="shared" si="16"/>
        <v>0</v>
      </c>
      <c r="J249" s="574"/>
      <c r="K249" s="549"/>
      <c r="M249" s="557">
        <f t="shared" si="19"/>
        <v>0</v>
      </c>
      <c r="N249" s="3"/>
      <c r="O249" s="557">
        <f t="shared" si="17"/>
        <v>0</v>
      </c>
      <c r="Q249" s="543"/>
      <c r="S249" s="557">
        <f t="shared" si="18"/>
        <v>0</v>
      </c>
    </row>
    <row r="250" spans="2:19" s="496" customFormat="1" ht="12" hidden="1">
      <c r="B250" s="561">
        <v>238</v>
      </c>
      <c r="C250" s="572"/>
      <c r="D250" s="541"/>
      <c r="E250" s="541"/>
      <c r="F250" s="543"/>
      <c r="G250" s="36">
        <f t="shared" si="15"/>
        <v>0</v>
      </c>
      <c r="H250" s="554">
        <f>IF(Consolidado_Geral!$G$133=7.6%,-(0.0165+0.076)*F250,0)</f>
        <v>0</v>
      </c>
      <c r="I250" s="36">
        <f t="shared" si="16"/>
        <v>0</v>
      </c>
      <c r="J250" s="574"/>
      <c r="K250" s="549"/>
      <c r="M250" s="557">
        <f t="shared" si="19"/>
        <v>0</v>
      </c>
      <c r="N250" s="3"/>
      <c r="O250" s="557">
        <f t="shared" si="17"/>
        <v>0</v>
      </c>
      <c r="Q250" s="543"/>
      <c r="S250" s="557">
        <f t="shared" si="18"/>
        <v>0</v>
      </c>
    </row>
    <row r="251" spans="2:19" s="496" customFormat="1" ht="12" hidden="1">
      <c r="B251" s="561">
        <v>239</v>
      </c>
      <c r="C251" s="572"/>
      <c r="D251" s="541"/>
      <c r="E251" s="541"/>
      <c r="F251" s="543"/>
      <c r="G251" s="36">
        <f t="shared" si="15"/>
        <v>0</v>
      </c>
      <c r="H251" s="554">
        <f>IF(Consolidado_Geral!$G$133=7.6%,-(0.0165+0.076)*F251,0)</f>
        <v>0</v>
      </c>
      <c r="I251" s="36">
        <f t="shared" si="16"/>
        <v>0</v>
      </c>
      <c r="J251" s="574"/>
      <c r="K251" s="549"/>
      <c r="M251" s="557">
        <f t="shared" si="19"/>
        <v>0</v>
      </c>
      <c r="N251" s="3"/>
      <c r="O251" s="557">
        <f t="shared" si="17"/>
        <v>0</v>
      </c>
      <c r="Q251" s="543"/>
      <c r="S251" s="557">
        <f t="shared" si="18"/>
        <v>0</v>
      </c>
    </row>
    <row r="252" spans="2:19" s="496" customFormat="1" ht="12" hidden="1">
      <c r="B252" s="561">
        <v>240</v>
      </c>
      <c r="C252" s="572"/>
      <c r="D252" s="541"/>
      <c r="E252" s="541"/>
      <c r="F252" s="543"/>
      <c r="G252" s="36">
        <f t="shared" si="15"/>
        <v>0</v>
      </c>
      <c r="H252" s="554">
        <f>IF(Consolidado_Geral!$G$133=7.6%,-(0.0165+0.076)*F252,0)</f>
        <v>0</v>
      </c>
      <c r="I252" s="36">
        <f t="shared" si="16"/>
        <v>0</v>
      </c>
      <c r="J252" s="574"/>
      <c r="K252" s="549"/>
      <c r="M252" s="557">
        <f t="shared" si="19"/>
        <v>0</v>
      </c>
      <c r="N252" s="3"/>
      <c r="O252" s="557">
        <f t="shared" si="17"/>
        <v>0</v>
      </c>
      <c r="Q252" s="543"/>
      <c r="S252" s="557">
        <f t="shared" si="18"/>
        <v>0</v>
      </c>
    </row>
    <row r="253" spans="2:19" s="496" customFormat="1" ht="12" hidden="1">
      <c r="B253" s="561">
        <v>241</v>
      </c>
      <c r="C253" s="572"/>
      <c r="D253" s="541"/>
      <c r="E253" s="541"/>
      <c r="F253" s="543"/>
      <c r="G253" s="36">
        <f t="shared" si="15"/>
        <v>0</v>
      </c>
      <c r="H253" s="554">
        <f>IF(Consolidado_Geral!$G$133=7.6%,-(0.0165+0.076)*F253,0)</f>
        <v>0</v>
      </c>
      <c r="I253" s="36">
        <f t="shared" si="16"/>
        <v>0</v>
      </c>
      <c r="J253" s="574"/>
      <c r="K253" s="549"/>
      <c r="M253" s="557">
        <f t="shared" si="19"/>
        <v>0</v>
      </c>
      <c r="N253" s="3"/>
      <c r="O253" s="557">
        <f t="shared" si="17"/>
        <v>0</v>
      </c>
      <c r="Q253" s="543"/>
      <c r="S253" s="557">
        <f t="shared" si="18"/>
        <v>0</v>
      </c>
    </row>
    <row r="254" spans="2:19" s="496" customFormat="1" ht="12" hidden="1">
      <c r="B254" s="561">
        <v>242</v>
      </c>
      <c r="C254" s="572"/>
      <c r="D254" s="541"/>
      <c r="E254" s="541"/>
      <c r="F254" s="543"/>
      <c r="G254" s="36">
        <f t="shared" si="15"/>
        <v>0</v>
      </c>
      <c r="H254" s="554">
        <f>IF(Consolidado_Geral!$G$133=7.6%,-(0.0165+0.076)*F254,0)</f>
        <v>0</v>
      </c>
      <c r="I254" s="36">
        <f t="shared" si="16"/>
        <v>0</v>
      </c>
      <c r="J254" s="574"/>
      <c r="K254" s="549"/>
      <c r="M254" s="557">
        <f t="shared" si="19"/>
        <v>0</v>
      </c>
      <c r="N254" s="3"/>
      <c r="O254" s="557">
        <f t="shared" si="17"/>
        <v>0</v>
      </c>
      <c r="Q254" s="543"/>
      <c r="S254" s="557">
        <f t="shared" si="18"/>
        <v>0</v>
      </c>
    </row>
    <row r="255" spans="2:19" s="496" customFormat="1" ht="12" hidden="1">
      <c r="B255" s="561">
        <v>243</v>
      </c>
      <c r="C255" s="572"/>
      <c r="D255" s="541"/>
      <c r="E255" s="541"/>
      <c r="F255" s="543"/>
      <c r="G255" s="36">
        <f t="shared" si="15"/>
        <v>0</v>
      </c>
      <c r="H255" s="554">
        <f>IF(Consolidado_Geral!$G$133=7.6%,-(0.0165+0.076)*F255,0)</f>
        <v>0</v>
      </c>
      <c r="I255" s="36">
        <f t="shared" si="16"/>
        <v>0</v>
      </c>
      <c r="J255" s="574"/>
      <c r="K255" s="549"/>
      <c r="M255" s="557">
        <f t="shared" si="19"/>
        <v>0</v>
      </c>
      <c r="N255" s="3"/>
      <c r="O255" s="557">
        <f t="shared" si="17"/>
        <v>0</v>
      </c>
      <c r="Q255" s="543"/>
      <c r="S255" s="557">
        <f t="shared" si="18"/>
        <v>0</v>
      </c>
    </row>
    <row r="256" spans="2:19" s="496" customFormat="1" ht="12" hidden="1">
      <c r="B256" s="561">
        <v>244</v>
      </c>
      <c r="C256" s="572"/>
      <c r="D256" s="541"/>
      <c r="E256" s="541"/>
      <c r="F256" s="543"/>
      <c r="G256" s="36">
        <f t="shared" si="15"/>
        <v>0</v>
      </c>
      <c r="H256" s="554">
        <f>IF(Consolidado_Geral!$G$133=7.6%,-(0.0165+0.076)*F256,0)</f>
        <v>0</v>
      </c>
      <c r="I256" s="36">
        <f t="shared" si="16"/>
        <v>0</v>
      </c>
      <c r="J256" s="574"/>
      <c r="K256" s="549"/>
      <c r="M256" s="557">
        <f t="shared" si="19"/>
        <v>0</v>
      </c>
      <c r="N256" s="3"/>
      <c r="O256" s="557">
        <f t="shared" si="17"/>
        <v>0</v>
      </c>
      <c r="Q256" s="543"/>
      <c r="S256" s="557">
        <f t="shared" si="18"/>
        <v>0</v>
      </c>
    </row>
    <row r="257" spans="2:19" s="496" customFormat="1" ht="12" hidden="1">
      <c r="B257" s="561">
        <v>245</v>
      </c>
      <c r="C257" s="572"/>
      <c r="D257" s="541"/>
      <c r="E257" s="541"/>
      <c r="F257" s="543"/>
      <c r="G257" s="36">
        <f t="shared" si="15"/>
        <v>0</v>
      </c>
      <c r="H257" s="554">
        <f>IF(Consolidado_Geral!$G$133=7.6%,-(0.0165+0.076)*F257,0)</f>
        <v>0</v>
      </c>
      <c r="I257" s="36">
        <f t="shared" si="16"/>
        <v>0</v>
      </c>
      <c r="J257" s="574"/>
      <c r="K257" s="549"/>
      <c r="M257" s="557">
        <f t="shared" si="19"/>
        <v>0</v>
      </c>
      <c r="N257" s="3"/>
      <c r="O257" s="557">
        <f t="shared" si="17"/>
        <v>0</v>
      </c>
      <c r="Q257" s="543"/>
      <c r="S257" s="557">
        <f t="shared" si="18"/>
        <v>0</v>
      </c>
    </row>
    <row r="258" spans="2:19" s="496" customFormat="1" ht="12" hidden="1">
      <c r="B258" s="561">
        <v>246</v>
      </c>
      <c r="C258" s="572"/>
      <c r="D258" s="541"/>
      <c r="E258" s="541"/>
      <c r="F258" s="543"/>
      <c r="G258" s="36">
        <f t="shared" si="15"/>
        <v>0</v>
      </c>
      <c r="H258" s="554">
        <f>IF(Consolidado_Geral!$G$133=7.6%,-(0.0165+0.076)*F258,0)</f>
        <v>0</v>
      </c>
      <c r="I258" s="36">
        <f t="shared" si="16"/>
        <v>0</v>
      </c>
      <c r="J258" s="574"/>
      <c r="K258" s="549"/>
      <c r="M258" s="557">
        <f t="shared" si="19"/>
        <v>0</v>
      </c>
      <c r="N258" s="3"/>
      <c r="O258" s="557">
        <f t="shared" si="17"/>
        <v>0</v>
      </c>
      <c r="Q258" s="543"/>
      <c r="S258" s="557">
        <f t="shared" si="18"/>
        <v>0</v>
      </c>
    </row>
    <row r="259" spans="2:19" s="496" customFormat="1" ht="12" hidden="1">
      <c r="B259" s="561">
        <v>247</v>
      </c>
      <c r="C259" s="572"/>
      <c r="D259" s="541"/>
      <c r="E259" s="541"/>
      <c r="F259" s="543"/>
      <c r="G259" s="36">
        <f t="shared" si="15"/>
        <v>0</v>
      </c>
      <c r="H259" s="554">
        <f>IF(Consolidado_Geral!$G$133=7.6%,-(0.0165+0.076)*F259,0)</f>
        <v>0</v>
      </c>
      <c r="I259" s="36">
        <f t="shared" si="16"/>
        <v>0</v>
      </c>
      <c r="J259" s="574"/>
      <c r="K259" s="549"/>
      <c r="M259" s="557">
        <f t="shared" si="19"/>
        <v>0</v>
      </c>
      <c r="N259" s="3"/>
      <c r="O259" s="557">
        <f t="shared" si="17"/>
        <v>0</v>
      </c>
      <c r="Q259" s="543"/>
      <c r="S259" s="557">
        <f t="shared" si="18"/>
        <v>0</v>
      </c>
    </row>
    <row r="260" spans="2:19" s="496" customFormat="1" ht="12" hidden="1">
      <c r="B260" s="561">
        <v>248</v>
      </c>
      <c r="C260" s="572"/>
      <c r="D260" s="541"/>
      <c r="E260" s="541"/>
      <c r="F260" s="543"/>
      <c r="G260" s="36">
        <f t="shared" si="15"/>
        <v>0</v>
      </c>
      <c r="H260" s="554">
        <f>IF(Consolidado_Geral!$G$133=7.6%,-(0.0165+0.076)*F260,0)</f>
        <v>0</v>
      </c>
      <c r="I260" s="36">
        <f t="shared" si="16"/>
        <v>0</v>
      </c>
      <c r="J260" s="574"/>
      <c r="K260" s="549"/>
      <c r="M260" s="557">
        <f t="shared" si="19"/>
        <v>0</v>
      </c>
      <c r="N260" s="3"/>
      <c r="O260" s="557">
        <f t="shared" si="17"/>
        <v>0</v>
      </c>
      <c r="Q260" s="543"/>
      <c r="S260" s="557">
        <f t="shared" si="18"/>
        <v>0</v>
      </c>
    </row>
    <row r="261" spans="2:19" s="496" customFormat="1" ht="12" hidden="1">
      <c r="B261" s="561">
        <v>249</v>
      </c>
      <c r="C261" s="572"/>
      <c r="D261" s="541"/>
      <c r="E261" s="541"/>
      <c r="F261" s="543"/>
      <c r="G261" s="36">
        <f t="shared" si="15"/>
        <v>0</v>
      </c>
      <c r="H261" s="554">
        <f>IF(Consolidado_Geral!$G$133=7.6%,-(0.0165+0.076)*F261,0)</f>
        <v>0</v>
      </c>
      <c r="I261" s="36">
        <f t="shared" si="16"/>
        <v>0</v>
      </c>
      <c r="J261" s="574"/>
      <c r="K261" s="549"/>
      <c r="M261" s="557">
        <f t="shared" si="19"/>
        <v>0</v>
      </c>
      <c r="N261" s="3"/>
      <c r="O261" s="557">
        <f t="shared" si="17"/>
        <v>0</v>
      </c>
      <c r="Q261" s="543"/>
      <c r="S261" s="557">
        <f t="shared" si="18"/>
        <v>0</v>
      </c>
    </row>
    <row r="262" spans="2:19" s="496" customFormat="1" ht="12" hidden="1">
      <c r="B262" s="561">
        <v>250</v>
      </c>
      <c r="C262" s="572"/>
      <c r="D262" s="541"/>
      <c r="E262" s="541"/>
      <c r="F262" s="543"/>
      <c r="G262" s="36">
        <f t="shared" si="15"/>
        <v>0</v>
      </c>
      <c r="H262" s="554">
        <f>IF(Consolidado_Geral!$G$133=7.6%,-(0.0165+0.076)*F262,0)</f>
        <v>0</v>
      </c>
      <c r="I262" s="36">
        <f t="shared" si="16"/>
        <v>0</v>
      </c>
      <c r="J262" s="574"/>
      <c r="K262" s="549"/>
      <c r="M262" s="557">
        <f t="shared" si="19"/>
        <v>0</v>
      </c>
      <c r="N262" s="3"/>
      <c r="O262" s="557">
        <f t="shared" si="17"/>
        <v>0</v>
      </c>
      <c r="Q262" s="543"/>
      <c r="S262" s="557">
        <f t="shared" si="18"/>
        <v>0</v>
      </c>
    </row>
    <row r="263" spans="2:19" s="496" customFormat="1" ht="12" hidden="1">
      <c r="B263" s="561">
        <v>251</v>
      </c>
      <c r="C263" s="572"/>
      <c r="D263" s="541"/>
      <c r="E263" s="541"/>
      <c r="F263" s="543"/>
      <c r="G263" s="36">
        <f t="shared" si="15"/>
        <v>0</v>
      </c>
      <c r="H263" s="554">
        <f>IF(Consolidado_Geral!$G$133=7.6%,-(0.0165+0.076)*F263,0)</f>
        <v>0</v>
      </c>
      <c r="I263" s="36">
        <f t="shared" si="16"/>
        <v>0</v>
      </c>
      <c r="J263" s="574"/>
      <c r="K263" s="549"/>
      <c r="M263" s="557">
        <f t="shared" si="19"/>
        <v>0</v>
      </c>
      <c r="N263" s="3"/>
      <c r="O263" s="557">
        <f t="shared" si="17"/>
        <v>0</v>
      </c>
      <c r="Q263" s="543"/>
      <c r="S263" s="557">
        <f t="shared" si="18"/>
        <v>0</v>
      </c>
    </row>
    <row r="264" spans="2:19" s="496" customFormat="1" ht="12" hidden="1">
      <c r="B264" s="561">
        <v>252</v>
      </c>
      <c r="C264" s="572"/>
      <c r="D264" s="541"/>
      <c r="E264" s="541"/>
      <c r="F264" s="543"/>
      <c r="G264" s="36">
        <f t="shared" si="15"/>
        <v>0</v>
      </c>
      <c r="H264" s="554">
        <f>IF(Consolidado_Geral!$G$133=7.6%,-(0.0165+0.076)*F264,0)</f>
        <v>0</v>
      </c>
      <c r="I264" s="36">
        <f t="shared" si="16"/>
        <v>0</v>
      </c>
      <c r="J264" s="574"/>
      <c r="K264" s="549"/>
      <c r="M264" s="557">
        <f t="shared" si="19"/>
        <v>0</v>
      </c>
      <c r="N264" s="3"/>
      <c r="O264" s="557">
        <f t="shared" si="17"/>
        <v>0</v>
      </c>
      <c r="Q264" s="543"/>
      <c r="S264" s="557">
        <f t="shared" si="18"/>
        <v>0</v>
      </c>
    </row>
    <row r="265" spans="2:19" s="496" customFormat="1" ht="12" hidden="1">
      <c r="B265" s="561">
        <v>253</v>
      </c>
      <c r="C265" s="572"/>
      <c r="D265" s="541"/>
      <c r="E265" s="541"/>
      <c r="F265" s="543"/>
      <c r="G265" s="36">
        <f t="shared" si="15"/>
        <v>0</v>
      </c>
      <c r="H265" s="554">
        <f>IF(Consolidado_Geral!$G$133=7.6%,-(0.0165+0.076)*F265,0)</f>
        <v>0</v>
      </c>
      <c r="I265" s="36">
        <f t="shared" si="16"/>
        <v>0</v>
      </c>
      <c r="J265" s="574"/>
      <c r="K265" s="549"/>
      <c r="M265" s="557">
        <f t="shared" si="19"/>
        <v>0</v>
      </c>
      <c r="N265" s="3"/>
      <c r="O265" s="557">
        <f t="shared" si="17"/>
        <v>0</v>
      </c>
      <c r="Q265" s="543"/>
      <c r="S265" s="557">
        <f t="shared" si="18"/>
        <v>0</v>
      </c>
    </row>
    <row r="266" spans="2:19" s="496" customFormat="1" ht="12" hidden="1">
      <c r="B266" s="561">
        <v>254</v>
      </c>
      <c r="C266" s="572"/>
      <c r="D266" s="541"/>
      <c r="E266" s="541"/>
      <c r="F266" s="543"/>
      <c r="G266" s="36">
        <f t="shared" si="15"/>
        <v>0</v>
      </c>
      <c r="H266" s="554">
        <f>IF(Consolidado_Geral!$G$133=7.6%,-(0.0165+0.076)*F266,0)</f>
        <v>0</v>
      </c>
      <c r="I266" s="36">
        <f t="shared" si="16"/>
        <v>0</v>
      </c>
      <c r="J266" s="574"/>
      <c r="K266" s="549"/>
      <c r="M266" s="557">
        <f t="shared" si="19"/>
        <v>0</v>
      </c>
      <c r="N266" s="3"/>
      <c r="O266" s="557">
        <f t="shared" si="17"/>
        <v>0</v>
      </c>
      <c r="Q266" s="543"/>
      <c r="S266" s="557">
        <f t="shared" si="18"/>
        <v>0</v>
      </c>
    </row>
    <row r="267" spans="2:19" s="496" customFormat="1" ht="12" hidden="1">
      <c r="B267" s="561">
        <v>255</v>
      </c>
      <c r="C267" s="572"/>
      <c r="D267" s="541"/>
      <c r="E267" s="541"/>
      <c r="F267" s="543"/>
      <c r="G267" s="36">
        <f t="shared" si="15"/>
        <v>0</v>
      </c>
      <c r="H267" s="554">
        <f>IF(Consolidado_Geral!$G$133=7.6%,-(0.0165+0.076)*F267,0)</f>
        <v>0</v>
      </c>
      <c r="I267" s="36">
        <f t="shared" si="16"/>
        <v>0</v>
      </c>
      <c r="J267" s="574"/>
      <c r="K267" s="549"/>
      <c r="M267" s="557">
        <f t="shared" si="19"/>
        <v>0</v>
      </c>
      <c r="N267" s="3"/>
      <c r="O267" s="557">
        <f t="shared" si="17"/>
        <v>0</v>
      </c>
      <c r="Q267" s="543"/>
      <c r="S267" s="557">
        <f t="shared" si="18"/>
        <v>0</v>
      </c>
    </row>
    <row r="268" spans="2:19" s="496" customFormat="1" ht="12" hidden="1">
      <c r="B268" s="561">
        <v>256</v>
      </c>
      <c r="C268" s="572"/>
      <c r="D268" s="541"/>
      <c r="E268" s="541"/>
      <c r="F268" s="543"/>
      <c r="G268" s="36">
        <f t="shared" si="15"/>
        <v>0</v>
      </c>
      <c r="H268" s="554">
        <f>IF(Consolidado_Geral!$G$133=7.6%,-(0.0165+0.076)*F268,0)</f>
        <v>0</v>
      </c>
      <c r="I268" s="36">
        <f t="shared" si="16"/>
        <v>0</v>
      </c>
      <c r="J268" s="574"/>
      <c r="K268" s="549"/>
      <c r="M268" s="557">
        <f t="shared" si="19"/>
        <v>0</v>
      </c>
      <c r="N268" s="3"/>
      <c r="O268" s="557">
        <f t="shared" si="17"/>
        <v>0</v>
      </c>
      <c r="Q268" s="543"/>
      <c r="S268" s="557">
        <f t="shared" si="18"/>
        <v>0</v>
      </c>
    </row>
    <row r="269" spans="2:19" s="496" customFormat="1" ht="12" hidden="1">
      <c r="B269" s="561">
        <v>257</v>
      </c>
      <c r="C269" s="572"/>
      <c r="D269" s="541"/>
      <c r="E269" s="541"/>
      <c r="F269" s="543"/>
      <c r="G269" s="36">
        <f t="shared" ref="G269:G332" si="20">F269*E269</f>
        <v>0</v>
      </c>
      <c r="H269" s="554">
        <f>IF(Consolidado_Geral!$G$133=7.6%,-(0.0165+0.076)*F269,0)</f>
        <v>0</v>
      </c>
      <c r="I269" s="36">
        <f t="shared" ref="I269:I332" si="21">H269*E269</f>
        <v>0</v>
      </c>
      <c r="J269" s="574"/>
      <c r="K269" s="549"/>
      <c r="M269" s="557">
        <f t="shared" si="19"/>
        <v>0</v>
      </c>
      <c r="N269" s="3"/>
      <c r="O269" s="557">
        <f t="shared" ref="O269:O337" si="22">IF(E269=0,0,(M269/K269)*E269)</f>
        <v>0</v>
      </c>
      <c r="Q269" s="543"/>
      <c r="S269" s="557">
        <f t="shared" ref="S269:S337" si="23">Q269*E269</f>
        <v>0</v>
      </c>
    </row>
    <row r="270" spans="2:19" s="496" customFormat="1" ht="12" hidden="1">
      <c r="B270" s="561">
        <v>258</v>
      </c>
      <c r="C270" s="572"/>
      <c r="D270" s="541"/>
      <c r="E270" s="541"/>
      <c r="F270" s="543"/>
      <c r="G270" s="36">
        <f t="shared" si="20"/>
        <v>0</v>
      </c>
      <c r="H270" s="554">
        <f>IF(Consolidado_Geral!$G$133=7.6%,-(0.0165+0.076)*F270,0)</f>
        <v>0</v>
      </c>
      <c r="I270" s="36">
        <f t="shared" si="21"/>
        <v>0</v>
      </c>
      <c r="J270" s="574"/>
      <c r="K270" s="549"/>
      <c r="M270" s="557">
        <f t="shared" ref="M270:M333" si="24">IF(E270&gt;0,(F270+H270)-J270,0)</f>
        <v>0</v>
      </c>
      <c r="N270" s="3"/>
      <c r="O270" s="557">
        <f t="shared" si="22"/>
        <v>0</v>
      </c>
      <c r="Q270" s="543"/>
      <c r="S270" s="557">
        <f t="shared" si="23"/>
        <v>0</v>
      </c>
    </row>
    <row r="271" spans="2:19" s="496" customFormat="1" ht="12" hidden="1">
      <c r="B271" s="561">
        <v>259</v>
      </c>
      <c r="C271" s="572"/>
      <c r="D271" s="541"/>
      <c r="E271" s="541"/>
      <c r="F271" s="543"/>
      <c r="G271" s="36">
        <f t="shared" si="20"/>
        <v>0</v>
      </c>
      <c r="H271" s="554">
        <f>IF(Consolidado_Geral!$G$133=7.6%,-(0.0165+0.076)*F271,0)</f>
        <v>0</v>
      </c>
      <c r="I271" s="36">
        <f t="shared" si="21"/>
        <v>0</v>
      </c>
      <c r="J271" s="574"/>
      <c r="K271" s="549"/>
      <c r="M271" s="557">
        <f t="shared" si="24"/>
        <v>0</v>
      </c>
      <c r="N271" s="3"/>
      <c r="O271" s="557">
        <f t="shared" si="22"/>
        <v>0</v>
      </c>
      <c r="Q271" s="543"/>
      <c r="S271" s="557">
        <f t="shared" si="23"/>
        <v>0</v>
      </c>
    </row>
    <row r="272" spans="2:19" s="496" customFormat="1" ht="12" hidden="1">
      <c r="B272" s="561">
        <v>260</v>
      </c>
      <c r="C272" s="572"/>
      <c r="D272" s="541"/>
      <c r="E272" s="541"/>
      <c r="F272" s="543"/>
      <c r="G272" s="36">
        <f t="shared" si="20"/>
        <v>0</v>
      </c>
      <c r="H272" s="554">
        <f>IF(Consolidado_Geral!$G$133=7.6%,-(0.0165+0.076)*F272,0)</f>
        <v>0</v>
      </c>
      <c r="I272" s="36">
        <f t="shared" si="21"/>
        <v>0</v>
      </c>
      <c r="J272" s="574"/>
      <c r="K272" s="549"/>
      <c r="M272" s="557">
        <f t="shared" si="24"/>
        <v>0</v>
      </c>
      <c r="N272" s="3"/>
      <c r="O272" s="557">
        <f t="shared" si="22"/>
        <v>0</v>
      </c>
      <c r="Q272" s="543"/>
      <c r="S272" s="557">
        <f t="shared" si="23"/>
        <v>0</v>
      </c>
    </row>
    <row r="273" spans="2:19" s="496" customFormat="1" ht="12" hidden="1">
      <c r="B273" s="561">
        <v>261</v>
      </c>
      <c r="C273" s="572"/>
      <c r="D273" s="541"/>
      <c r="E273" s="541"/>
      <c r="F273" s="543"/>
      <c r="G273" s="36">
        <f t="shared" si="20"/>
        <v>0</v>
      </c>
      <c r="H273" s="554">
        <f>IF(Consolidado_Geral!$G$133=7.6%,-(0.0165+0.076)*F273,0)</f>
        <v>0</v>
      </c>
      <c r="I273" s="36">
        <f t="shared" si="21"/>
        <v>0</v>
      </c>
      <c r="J273" s="574"/>
      <c r="K273" s="549"/>
      <c r="M273" s="557">
        <f t="shared" si="24"/>
        <v>0</v>
      </c>
      <c r="N273" s="3"/>
      <c r="O273" s="557">
        <f t="shared" si="22"/>
        <v>0</v>
      </c>
      <c r="Q273" s="543"/>
      <c r="S273" s="557">
        <f t="shared" si="23"/>
        <v>0</v>
      </c>
    </row>
    <row r="274" spans="2:19" s="496" customFormat="1" ht="12" hidden="1">
      <c r="B274" s="561">
        <v>262</v>
      </c>
      <c r="C274" s="572"/>
      <c r="D274" s="541"/>
      <c r="E274" s="541"/>
      <c r="F274" s="543"/>
      <c r="G274" s="36">
        <f t="shared" si="20"/>
        <v>0</v>
      </c>
      <c r="H274" s="554">
        <f>IF(Consolidado_Geral!$G$133=7.6%,-(0.0165+0.076)*F274,0)</f>
        <v>0</v>
      </c>
      <c r="I274" s="36">
        <f t="shared" si="21"/>
        <v>0</v>
      </c>
      <c r="J274" s="574"/>
      <c r="K274" s="549"/>
      <c r="M274" s="557">
        <f t="shared" si="24"/>
        <v>0</v>
      </c>
      <c r="N274" s="3"/>
      <c r="O274" s="557">
        <f t="shared" si="22"/>
        <v>0</v>
      </c>
      <c r="Q274" s="543"/>
      <c r="S274" s="557">
        <f t="shared" si="23"/>
        <v>0</v>
      </c>
    </row>
    <row r="275" spans="2:19" s="496" customFormat="1" ht="12" hidden="1">
      <c r="B275" s="561">
        <v>263</v>
      </c>
      <c r="C275" s="572"/>
      <c r="D275" s="541"/>
      <c r="E275" s="541"/>
      <c r="F275" s="543"/>
      <c r="G275" s="36">
        <f t="shared" si="20"/>
        <v>0</v>
      </c>
      <c r="H275" s="554">
        <f>IF(Consolidado_Geral!$G$133=7.6%,-(0.0165+0.076)*F275,0)</f>
        <v>0</v>
      </c>
      <c r="I275" s="36">
        <f t="shared" si="21"/>
        <v>0</v>
      </c>
      <c r="J275" s="574"/>
      <c r="K275" s="549"/>
      <c r="M275" s="557">
        <f t="shared" si="24"/>
        <v>0</v>
      </c>
      <c r="N275" s="3"/>
      <c r="O275" s="557">
        <f t="shared" si="22"/>
        <v>0</v>
      </c>
      <c r="Q275" s="543"/>
      <c r="S275" s="557">
        <f t="shared" si="23"/>
        <v>0</v>
      </c>
    </row>
    <row r="276" spans="2:19" s="496" customFormat="1" ht="12" hidden="1">
      <c r="B276" s="561">
        <v>264</v>
      </c>
      <c r="C276" s="572"/>
      <c r="D276" s="541"/>
      <c r="E276" s="541"/>
      <c r="F276" s="543"/>
      <c r="G276" s="36">
        <f t="shared" si="20"/>
        <v>0</v>
      </c>
      <c r="H276" s="554">
        <f>IF(Consolidado_Geral!$G$133=7.6%,-(0.0165+0.076)*F276,0)</f>
        <v>0</v>
      </c>
      <c r="I276" s="36">
        <f t="shared" si="21"/>
        <v>0</v>
      </c>
      <c r="J276" s="574"/>
      <c r="K276" s="549"/>
      <c r="M276" s="557">
        <f t="shared" si="24"/>
        <v>0</v>
      </c>
      <c r="N276" s="3"/>
      <c r="O276" s="557">
        <f t="shared" si="22"/>
        <v>0</v>
      </c>
      <c r="Q276" s="543"/>
      <c r="S276" s="557">
        <f t="shared" si="23"/>
        <v>0</v>
      </c>
    </row>
    <row r="277" spans="2:19" s="496" customFormat="1" ht="12" hidden="1">
      <c r="B277" s="561">
        <v>265</v>
      </c>
      <c r="C277" s="572"/>
      <c r="D277" s="541"/>
      <c r="E277" s="541"/>
      <c r="F277" s="543"/>
      <c r="G277" s="36">
        <f t="shared" si="20"/>
        <v>0</v>
      </c>
      <c r="H277" s="554">
        <f>IF(Consolidado_Geral!$G$133=7.6%,-(0.0165+0.076)*F277,0)</f>
        <v>0</v>
      </c>
      <c r="I277" s="36">
        <f t="shared" si="21"/>
        <v>0</v>
      </c>
      <c r="J277" s="574"/>
      <c r="K277" s="549"/>
      <c r="M277" s="557">
        <f t="shared" si="24"/>
        <v>0</v>
      </c>
      <c r="N277" s="3"/>
      <c r="O277" s="557">
        <f t="shared" si="22"/>
        <v>0</v>
      </c>
      <c r="Q277" s="543"/>
      <c r="S277" s="557">
        <f t="shared" si="23"/>
        <v>0</v>
      </c>
    </row>
    <row r="278" spans="2:19" s="496" customFormat="1" ht="12" hidden="1">
      <c r="B278" s="561">
        <v>266</v>
      </c>
      <c r="C278" s="572"/>
      <c r="D278" s="541"/>
      <c r="E278" s="541"/>
      <c r="F278" s="543"/>
      <c r="G278" s="36">
        <f t="shared" si="20"/>
        <v>0</v>
      </c>
      <c r="H278" s="554">
        <f>IF(Consolidado_Geral!$G$133=7.6%,-(0.0165+0.076)*F278,0)</f>
        <v>0</v>
      </c>
      <c r="I278" s="36">
        <f t="shared" si="21"/>
        <v>0</v>
      </c>
      <c r="J278" s="574"/>
      <c r="K278" s="549"/>
      <c r="M278" s="557">
        <f t="shared" si="24"/>
        <v>0</v>
      </c>
      <c r="N278" s="3"/>
      <c r="O278" s="557">
        <f t="shared" si="22"/>
        <v>0</v>
      </c>
      <c r="Q278" s="543"/>
      <c r="S278" s="557">
        <f t="shared" si="23"/>
        <v>0</v>
      </c>
    </row>
    <row r="279" spans="2:19" s="496" customFormat="1" ht="12" hidden="1">
      <c r="B279" s="561">
        <v>267</v>
      </c>
      <c r="C279" s="572"/>
      <c r="D279" s="541"/>
      <c r="E279" s="541"/>
      <c r="F279" s="543"/>
      <c r="G279" s="36">
        <f t="shared" si="20"/>
        <v>0</v>
      </c>
      <c r="H279" s="554">
        <f>IF(Consolidado_Geral!$G$133=7.6%,-(0.0165+0.076)*F279,0)</f>
        <v>0</v>
      </c>
      <c r="I279" s="36">
        <f t="shared" si="21"/>
        <v>0</v>
      </c>
      <c r="J279" s="574"/>
      <c r="K279" s="549"/>
      <c r="M279" s="557">
        <f t="shared" si="24"/>
        <v>0</v>
      </c>
      <c r="N279" s="3"/>
      <c r="O279" s="557">
        <f t="shared" si="22"/>
        <v>0</v>
      </c>
      <c r="Q279" s="543"/>
      <c r="S279" s="557">
        <f t="shared" si="23"/>
        <v>0</v>
      </c>
    </row>
    <row r="280" spans="2:19" s="496" customFormat="1" ht="12" hidden="1">
      <c r="B280" s="561">
        <v>268</v>
      </c>
      <c r="C280" s="572"/>
      <c r="D280" s="541"/>
      <c r="E280" s="541"/>
      <c r="F280" s="543"/>
      <c r="G280" s="36">
        <f t="shared" si="20"/>
        <v>0</v>
      </c>
      <c r="H280" s="554">
        <f>IF(Consolidado_Geral!$G$133=7.6%,-(0.0165+0.076)*F280,0)</f>
        <v>0</v>
      </c>
      <c r="I280" s="36">
        <f t="shared" si="21"/>
        <v>0</v>
      </c>
      <c r="J280" s="574"/>
      <c r="K280" s="549"/>
      <c r="M280" s="557">
        <f t="shared" si="24"/>
        <v>0</v>
      </c>
      <c r="N280" s="3"/>
      <c r="O280" s="557">
        <f t="shared" si="22"/>
        <v>0</v>
      </c>
      <c r="Q280" s="543"/>
      <c r="S280" s="557">
        <f t="shared" si="23"/>
        <v>0</v>
      </c>
    </row>
    <row r="281" spans="2:19" s="496" customFormat="1" ht="12" hidden="1">
      <c r="B281" s="561">
        <v>269</v>
      </c>
      <c r="C281" s="572"/>
      <c r="D281" s="541"/>
      <c r="E281" s="541"/>
      <c r="F281" s="543"/>
      <c r="G281" s="36">
        <f t="shared" si="20"/>
        <v>0</v>
      </c>
      <c r="H281" s="554">
        <f>IF(Consolidado_Geral!$G$133=7.6%,-(0.0165+0.076)*F281,0)</f>
        <v>0</v>
      </c>
      <c r="I281" s="36">
        <f t="shared" si="21"/>
        <v>0</v>
      </c>
      <c r="J281" s="574"/>
      <c r="K281" s="549"/>
      <c r="M281" s="557">
        <f t="shared" si="24"/>
        <v>0</v>
      </c>
      <c r="N281" s="3"/>
      <c r="O281" s="557">
        <f t="shared" si="22"/>
        <v>0</v>
      </c>
      <c r="Q281" s="543"/>
      <c r="S281" s="557">
        <f t="shared" si="23"/>
        <v>0</v>
      </c>
    </row>
    <row r="282" spans="2:19" s="496" customFormat="1" ht="12" hidden="1">
      <c r="B282" s="561">
        <v>270</v>
      </c>
      <c r="C282" s="572"/>
      <c r="D282" s="541"/>
      <c r="E282" s="541"/>
      <c r="F282" s="543"/>
      <c r="G282" s="36">
        <f t="shared" si="20"/>
        <v>0</v>
      </c>
      <c r="H282" s="554">
        <f>IF(Consolidado_Geral!$G$133=7.6%,-(0.0165+0.076)*F282,0)</f>
        <v>0</v>
      </c>
      <c r="I282" s="36">
        <f t="shared" si="21"/>
        <v>0</v>
      </c>
      <c r="J282" s="574"/>
      <c r="K282" s="549"/>
      <c r="M282" s="557">
        <f t="shared" si="24"/>
        <v>0</v>
      </c>
      <c r="N282" s="3"/>
      <c r="O282" s="557">
        <f t="shared" si="22"/>
        <v>0</v>
      </c>
      <c r="Q282" s="543"/>
      <c r="S282" s="557">
        <f t="shared" si="23"/>
        <v>0</v>
      </c>
    </row>
    <row r="283" spans="2:19" s="496" customFormat="1" ht="12" hidden="1">
      <c r="B283" s="561">
        <v>271</v>
      </c>
      <c r="C283" s="572"/>
      <c r="D283" s="541"/>
      <c r="E283" s="541"/>
      <c r="F283" s="543"/>
      <c r="G283" s="36">
        <f t="shared" si="20"/>
        <v>0</v>
      </c>
      <c r="H283" s="554">
        <f>IF(Consolidado_Geral!$G$133=7.6%,-(0.0165+0.076)*F283,0)</f>
        <v>0</v>
      </c>
      <c r="I283" s="36">
        <f t="shared" si="21"/>
        <v>0</v>
      </c>
      <c r="J283" s="574"/>
      <c r="K283" s="549"/>
      <c r="M283" s="557">
        <f t="shared" si="24"/>
        <v>0</v>
      </c>
      <c r="N283" s="3"/>
      <c r="O283" s="557">
        <f t="shared" si="22"/>
        <v>0</v>
      </c>
      <c r="Q283" s="543"/>
      <c r="S283" s="557">
        <f t="shared" si="23"/>
        <v>0</v>
      </c>
    </row>
    <row r="284" spans="2:19" s="496" customFormat="1" ht="12" hidden="1">
      <c r="B284" s="561">
        <v>272</v>
      </c>
      <c r="C284" s="572"/>
      <c r="D284" s="541"/>
      <c r="E284" s="541"/>
      <c r="F284" s="543"/>
      <c r="G284" s="36">
        <f t="shared" si="20"/>
        <v>0</v>
      </c>
      <c r="H284" s="554">
        <f>IF(Consolidado_Geral!$G$133=7.6%,-(0.0165+0.076)*F284,0)</f>
        <v>0</v>
      </c>
      <c r="I284" s="36">
        <f t="shared" si="21"/>
        <v>0</v>
      </c>
      <c r="J284" s="574"/>
      <c r="K284" s="549"/>
      <c r="M284" s="557">
        <f t="shared" si="24"/>
        <v>0</v>
      </c>
      <c r="N284" s="3"/>
      <c r="O284" s="557">
        <f t="shared" si="22"/>
        <v>0</v>
      </c>
      <c r="Q284" s="543"/>
      <c r="S284" s="557">
        <f t="shared" si="23"/>
        <v>0</v>
      </c>
    </row>
    <row r="285" spans="2:19" s="496" customFormat="1" ht="12" hidden="1">
      <c r="B285" s="561">
        <v>273</v>
      </c>
      <c r="C285" s="572"/>
      <c r="D285" s="541"/>
      <c r="E285" s="541"/>
      <c r="F285" s="543"/>
      <c r="G285" s="36">
        <f t="shared" si="20"/>
        <v>0</v>
      </c>
      <c r="H285" s="554">
        <f>IF(Consolidado_Geral!$G$133=7.6%,-(0.0165+0.076)*F285,0)</f>
        <v>0</v>
      </c>
      <c r="I285" s="36">
        <f t="shared" si="21"/>
        <v>0</v>
      </c>
      <c r="J285" s="574"/>
      <c r="K285" s="549"/>
      <c r="M285" s="557">
        <f t="shared" si="24"/>
        <v>0</v>
      </c>
      <c r="N285" s="3"/>
      <c r="O285" s="557">
        <f t="shared" si="22"/>
        <v>0</v>
      </c>
      <c r="Q285" s="543"/>
      <c r="S285" s="557">
        <f t="shared" si="23"/>
        <v>0</v>
      </c>
    </row>
    <row r="286" spans="2:19" s="496" customFormat="1" ht="12" hidden="1">
      <c r="B286" s="561">
        <v>274</v>
      </c>
      <c r="C286" s="572"/>
      <c r="D286" s="541"/>
      <c r="E286" s="541"/>
      <c r="F286" s="543"/>
      <c r="G286" s="36">
        <f t="shared" si="20"/>
        <v>0</v>
      </c>
      <c r="H286" s="554">
        <f>IF(Consolidado_Geral!$G$133=7.6%,-(0.0165+0.076)*F286,0)</f>
        <v>0</v>
      </c>
      <c r="I286" s="36">
        <f t="shared" si="21"/>
        <v>0</v>
      </c>
      <c r="J286" s="574"/>
      <c r="K286" s="549"/>
      <c r="M286" s="557">
        <f t="shared" si="24"/>
        <v>0</v>
      </c>
      <c r="N286" s="3"/>
      <c r="O286" s="557">
        <f t="shared" si="22"/>
        <v>0</v>
      </c>
      <c r="Q286" s="543"/>
      <c r="S286" s="557">
        <f t="shared" si="23"/>
        <v>0</v>
      </c>
    </row>
    <row r="287" spans="2:19" s="496" customFormat="1" ht="12" hidden="1">
      <c r="B287" s="561">
        <v>275</v>
      </c>
      <c r="C287" s="572"/>
      <c r="D287" s="541"/>
      <c r="E287" s="541"/>
      <c r="F287" s="543"/>
      <c r="G287" s="36">
        <f t="shared" si="20"/>
        <v>0</v>
      </c>
      <c r="H287" s="554">
        <f>IF(Consolidado_Geral!$G$133=7.6%,-(0.0165+0.076)*F287,0)</f>
        <v>0</v>
      </c>
      <c r="I287" s="36">
        <f t="shared" si="21"/>
        <v>0</v>
      </c>
      <c r="J287" s="574"/>
      <c r="K287" s="549"/>
      <c r="M287" s="557">
        <f t="shared" si="24"/>
        <v>0</v>
      </c>
      <c r="N287" s="3"/>
      <c r="O287" s="557">
        <f t="shared" si="22"/>
        <v>0</v>
      </c>
      <c r="Q287" s="543"/>
      <c r="S287" s="557">
        <f t="shared" si="23"/>
        <v>0</v>
      </c>
    </row>
    <row r="288" spans="2:19" s="496" customFormat="1" ht="12" hidden="1">
      <c r="B288" s="561">
        <v>276</v>
      </c>
      <c r="C288" s="572"/>
      <c r="D288" s="541"/>
      <c r="E288" s="541"/>
      <c r="F288" s="543"/>
      <c r="G288" s="36">
        <f t="shared" si="20"/>
        <v>0</v>
      </c>
      <c r="H288" s="554">
        <f>IF(Consolidado_Geral!$G$133=7.6%,-(0.0165+0.076)*F288,0)</f>
        <v>0</v>
      </c>
      <c r="I288" s="36">
        <f t="shared" si="21"/>
        <v>0</v>
      </c>
      <c r="J288" s="574"/>
      <c r="K288" s="549"/>
      <c r="M288" s="557">
        <f t="shared" si="24"/>
        <v>0</v>
      </c>
      <c r="N288" s="3"/>
      <c r="O288" s="557">
        <f t="shared" si="22"/>
        <v>0</v>
      </c>
      <c r="Q288" s="543"/>
      <c r="S288" s="557">
        <f t="shared" si="23"/>
        <v>0</v>
      </c>
    </row>
    <row r="289" spans="2:19" s="496" customFormat="1" ht="12" hidden="1">
      <c r="B289" s="561">
        <v>277</v>
      </c>
      <c r="C289" s="572"/>
      <c r="D289" s="541"/>
      <c r="E289" s="541"/>
      <c r="F289" s="543"/>
      <c r="G289" s="36">
        <f t="shared" si="20"/>
        <v>0</v>
      </c>
      <c r="H289" s="554">
        <f>IF(Consolidado_Geral!$G$133=7.6%,-(0.0165+0.076)*F289,0)</f>
        <v>0</v>
      </c>
      <c r="I289" s="36">
        <f t="shared" si="21"/>
        <v>0</v>
      </c>
      <c r="J289" s="574"/>
      <c r="K289" s="549"/>
      <c r="M289" s="557">
        <f t="shared" si="24"/>
        <v>0</v>
      </c>
      <c r="N289" s="3"/>
      <c r="O289" s="557">
        <f t="shared" si="22"/>
        <v>0</v>
      </c>
      <c r="Q289" s="543"/>
      <c r="S289" s="557">
        <f t="shared" si="23"/>
        <v>0</v>
      </c>
    </row>
    <row r="290" spans="2:19" s="496" customFormat="1" ht="12" hidden="1">
      <c r="B290" s="561">
        <v>278</v>
      </c>
      <c r="C290" s="572"/>
      <c r="D290" s="541"/>
      <c r="E290" s="541"/>
      <c r="F290" s="543"/>
      <c r="G290" s="36">
        <f t="shared" si="20"/>
        <v>0</v>
      </c>
      <c r="H290" s="554">
        <f>IF(Consolidado_Geral!$G$133=7.6%,-(0.0165+0.076)*F290,0)</f>
        <v>0</v>
      </c>
      <c r="I290" s="36">
        <f t="shared" si="21"/>
        <v>0</v>
      </c>
      <c r="J290" s="574"/>
      <c r="K290" s="549"/>
      <c r="M290" s="557">
        <f t="shared" si="24"/>
        <v>0</v>
      </c>
      <c r="N290" s="3"/>
      <c r="O290" s="557">
        <f t="shared" si="22"/>
        <v>0</v>
      </c>
      <c r="Q290" s="543"/>
      <c r="S290" s="557">
        <f t="shared" si="23"/>
        <v>0</v>
      </c>
    </row>
    <row r="291" spans="2:19" s="496" customFormat="1" ht="12" hidden="1">
      <c r="B291" s="561">
        <v>279</v>
      </c>
      <c r="C291" s="572"/>
      <c r="D291" s="541"/>
      <c r="E291" s="541"/>
      <c r="F291" s="543"/>
      <c r="G291" s="36">
        <f t="shared" si="20"/>
        <v>0</v>
      </c>
      <c r="H291" s="554">
        <f>IF(Consolidado_Geral!$G$133=7.6%,-(0.0165+0.076)*F291,0)</f>
        <v>0</v>
      </c>
      <c r="I291" s="36">
        <f t="shared" si="21"/>
        <v>0</v>
      </c>
      <c r="J291" s="574"/>
      <c r="K291" s="549"/>
      <c r="M291" s="557">
        <f t="shared" si="24"/>
        <v>0</v>
      </c>
      <c r="N291" s="3"/>
      <c r="O291" s="557">
        <f t="shared" si="22"/>
        <v>0</v>
      </c>
      <c r="Q291" s="543"/>
      <c r="S291" s="557">
        <f t="shared" si="23"/>
        <v>0</v>
      </c>
    </row>
    <row r="292" spans="2:19" s="496" customFormat="1" ht="12" hidden="1">
      <c r="B292" s="561">
        <v>280</v>
      </c>
      <c r="C292" s="572"/>
      <c r="D292" s="541"/>
      <c r="E292" s="541"/>
      <c r="F292" s="543"/>
      <c r="G292" s="36">
        <f t="shared" si="20"/>
        <v>0</v>
      </c>
      <c r="H292" s="554">
        <f>IF(Consolidado_Geral!$G$133=7.6%,-(0.0165+0.076)*F292,0)</f>
        <v>0</v>
      </c>
      <c r="I292" s="36">
        <f t="shared" si="21"/>
        <v>0</v>
      </c>
      <c r="J292" s="574"/>
      <c r="K292" s="549"/>
      <c r="M292" s="557">
        <f t="shared" si="24"/>
        <v>0</v>
      </c>
      <c r="N292" s="3"/>
      <c r="O292" s="557">
        <f t="shared" si="22"/>
        <v>0</v>
      </c>
      <c r="Q292" s="543"/>
      <c r="S292" s="557">
        <f t="shared" si="23"/>
        <v>0</v>
      </c>
    </row>
    <row r="293" spans="2:19" s="496" customFormat="1" ht="12" hidden="1">
      <c r="B293" s="561">
        <v>281</v>
      </c>
      <c r="C293" s="572"/>
      <c r="D293" s="541"/>
      <c r="E293" s="541"/>
      <c r="F293" s="543"/>
      <c r="G293" s="36">
        <f t="shared" si="20"/>
        <v>0</v>
      </c>
      <c r="H293" s="554">
        <f>IF(Consolidado_Geral!$G$133=7.6%,-(0.0165+0.076)*F293,0)</f>
        <v>0</v>
      </c>
      <c r="I293" s="36">
        <f t="shared" si="21"/>
        <v>0</v>
      </c>
      <c r="J293" s="574"/>
      <c r="K293" s="549"/>
      <c r="M293" s="557">
        <f t="shared" si="24"/>
        <v>0</v>
      </c>
      <c r="N293" s="3"/>
      <c r="O293" s="557">
        <f t="shared" si="22"/>
        <v>0</v>
      </c>
      <c r="Q293" s="543"/>
      <c r="S293" s="557">
        <f t="shared" si="23"/>
        <v>0</v>
      </c>
    </row>
    <row r="294" spans="2:19" s="496" customFormat="1" ht="12" hidden="1">
      <c r="B294" s="561">
        <v>282</v>
      </c>
      <c r="C294" s="572"/>
      <c r="D294" s="541"/>
      <c r="E294" s="541"/>
      <c r="F294" s="543"/>
      <c r="G294" s="36">
        <f t="shared" si="20"/>
        <v>0</v>
      </c>
      <c r="H294" s="554">
        <f>IF(Consolidado_Geral!$G$133=7.6%,-(0.0165+0.076)*F294,0)</f>
        <v>0</v>
      </c>
      <c r="I294" s="36">
        <f t="shared" si="21"/>
        <v>0</v>
      </c>
      <c r="J294" s="574"/>
      <c r="K294" s="549"/>
      <c r="M294" s="557">
        <f t="shared" si="24"/>
        <v>0</v>
      </c>
      <c r="N294" s="3"/>
      <c r="O294" s="557">
        <f t="shared" si="22"/>
        <v>0</v>
      </c>
      <c r="Q294" s="543"/>
      <c r="S294" s="557">
        <f t="shared" si="23"/>
        <v>0</v>
      </c>
    </row>
    <row r="295" spans="2:19" s="496" customFormat="1" ht="12" hidden="1">
      <c r="B295" s="561">
        <v>283</v>
      </c>
      <c r="C295" s="572"/>
      <c r="D295" s="541"/>
      <c r="E295" s="541"/>
      <c r="F295" s="543"/>
      <c r="G295" s="36">
        <f t="shared" si="20"/>
        <v>0</v>
      </c>
      <c r="H295" s="554">
        <f>IF(Consolidado_Geral!$G$133=7.6%,-(0.0165+0.076)*F295,0)</f>
        <v>0</v>
      </c>
      <c r="I295" s="36">
        <f t="shared" si="21"/>
        <v>0</v>
      </c>
      <c r="J295" s="574"/>
      <c r="K295" s="549"/>
      <c r="M295" s="557">
        <f t="shared" si="24"/>
        <v>0</v>
      </c>
      <c r="N295" s="3"/>
      <c r="O295" s="557">
        <f t="shared" si="22"/>
        <v>0</v>
      </c>
      <c r="Q295" s="543"/>
      <c r="S295" s="557">
        <f t="shared" si="23"/>
        <v>0</v>
      </c>
    </row>
    <row r="296" spans="2:19" s="496" customFormat="1" ht="12" hidden="1">
      <c r="B296" s="561">
        <v>284</v>
      </c>
      <c r="C296" s="572"/>
      <c r="D296" s="541"/>
      <c r="E296" s="541"/>
      <c r="F296" s="543"/>
      <c r="G296" s="36">
        <f t="shared" si="20"/>
        <v>0</v>
      </c>
      <c r="H296" s="554">
        <f>IF(Consolidado_Geral!$G$133=7.6%,-(0.0165+0.076)*F296,0)</f>
        <v>0</v>
      </c>
      <c r="I296" s="36">
        <f t="shared" si="21"/>
        <v>0</v>
      </c>
      <c r="J296" s="574"/>
      <c r="K296" s="549"/>
      <c r="M296" s="557">
        <f t="shared" si="24"/>
        <v>0</v>
      </c>
      <c r="N296" s="3"/>
      <c r="O296" s="557">
        <f t="shared" si="22"/>
        <v>0</v>
      </c>
      <c r="Q296" s="543"/>
      <c r="S296" s="557">
        <f t="shared" si="23"/>
        <v>0</v>
      </c>
    </row>
    <row r="297" spans="2:19" s="496" customFormat="1" ht="12" hidden="1">
      <c r="B297" s="561">
        <v>285</v>
      </c>
      <c r="C297" s="572"/>
      <c r="D297" s="541"/>
      <c r="E297" s="541"/>
      <c r="F297" s="543"/>
      <c r="G297" s="36">
        <f t="shared" si="20"/>
        <v>0</v>
      </c>
      <c r="H297" s="554">
        <f>IF(Consolidado_Geral!$G$133=7.6%,-(0.0165+0.076)*F297,0)</f>
        <v>0</v>
      </c>
      <c r="I297" s="36">
        <f t="shared" si="21"/>
        <v>0</v>
      </c>
      <c r="J297" s="574"/>
      <c r="K297" s="549"/>
      <c r="M297" s="557">
        <f t="shared" si="24"/>
        <v>0</v>
      </c>
      <c r="N297" s="3"/>
      <c r="O297" s="557">
        <f t="shared" si="22"/>
        <v>0</v>
      </c>
      <c r="Q297" s="543"/>
      <c r="S297" s="557">
        <f t="shared" si="23"/>
        <v>0</v>
      </c>
    </row>
    <row r="298" spans="2:19" s="496" customFormat="1" ht="12" hidden="1">
      <c r="B298" s="561">
        <v>286</v>
      </c>
      <c r="C298" s="572"/>
      <c r="D298" s="541"/>
      <c r="E298" s="541"/>
      <c r="F298" s="543"/>
      <c r="G298" s="36">
        <f t="shared" si="20"/>
        <v>0</v>
      </c>
      <c r="H298" s="554">
        <f>IF(Consolidado_Geral!$G$133=7.6%,-(0.0165+0.076)*F298,0)</f>
        <v>0</v>
      </c>
      <c r="I298" s="36">
        <f t="shared" si="21"/>
        <v>0</v>
      </c>
      <c r="J298" s="574"/>
      <c r="K298" s="549"/>
      <c r="M298" s="557">
        <f t="shared" si="24"/>
        <v>0</v>
      </c>
      <c r="N298" s="3"/>
      <c r="O298" s="557">
        <f t="shared" si="22"/>
        <v>0</v>
      </c>
      <c r="Q298" s="543"/>
      <c r="S298" s="557">
        <f t="shared" si="23"/>
        <v>0</v>
      </c>
    </row>
    <row r="299" spans="2:19" s="496" customFormat="1" ht="12" hidden="1">
      <c r="B299" s="561">
        <v>287</v>
      </c>
      <c r="C299" s="572"/>
      <c r="D299" s="541"/>
      <c r="E299" s="541"/>
      <c r="F299" s="543"/>
      <c r="G299" s="36">
        <f t="shared" si="20"/>
        <v>0</v>
      </c>
      <c r="H299" s="554">
        <f>IF(Consolidado_Geral!$G$133=7.6%,-(0.0165+0.076)*F299,0)</f>
        <v>0</v>
      </c>
      <c r="I299" s="36">
        <f t="shared" si="21"/>
        <v>0</v>
      </c>
      <c r="J299" s="574"/>
      <c r="K299" s="549"/>
      <c r="M299" s="557">
        <f t="shared" si="24"/>
        <v>0</v>
      </c>
      <c r="N299" s="3"/>
      <c r="O299" s="557">
        <f t="shared" si="22"/>
        <v>0</v>
      </c>
      <c r="Q299" s="543"/>
      <c r="S299" s="557">
        <f t="shared" si="23"/>
        <v>0</v>
      </c>
    </row>
    <row r="300" spans="2:19" s="496" customFormat="1" ht="12" hidden="1">
      <c r="B300" s="561">
        <v>288</v>
      </c>
      <c r="C300" s="572"/>
      <c r="D300" s="541"/>
      <c r="E300" s="541"/>
      <c r="F300" s="543"/>
      <c r="G300" s="36">
        <f t="shared" si="20"/>
        <v>0</v>
      </c>
      <c r="H300" s="554">
        <f>IF(Consolidado_Geral!$G$133=7.6%,-(0.0165+0.076)*F300,0)</f>
        <v>0</v>
      </c>
      <c r="I300" s="36">
        <f t="shared" si="21"/>
        <v>0</v>
      </c>
      <c r="J300" s="574"/>
      <c r="K300" s="549"/>
      <c r="M300" s="557">
        <f t="shared" si="24"/>
        <v>0</v>
      </c>
      <c r="N300" s="3"/>
      <c r="O300" s="557">
        <f t="shared" si="22"/>
        <v>0</v>
      </c>
      <c r="Q300" s="543"/>
      <c r="S300" s="557">
        <f t="shared" si="23"/>
        <v>0</v>
      </c>
    </row>
    <row r="301" spans="2:19" s="496" customFormat="1" ht="12" hidden="1">
      <c r="B301" s="561">
        <v>289</v>
      </c>
      <c r="C301" s="572"/>
      <c r="D301" s="541"/>
      <c r="E301" s="541"/>
      <c r="F301" s="543"/>
      <c r="G301" s="36">
        <f t="shared" si="20"/>
        <v>0</v>
      </c>
      <c r="H301" s="554">
        <f>IF(Consolidado_Geral!$G$133=7.6%,-(0.0165+0.076)*F301,0)</f>
        <v>0</v>
      </c>
      <c r="I301" s="36">
        <f t="shared" si="21"/>
        <v>0</v>
      </c>
      <c r="J301" s="574"/>
      <c r="K301" s="549"/>
      <c r="M301" s="557">
        <f t="shared" si="24"/>
        <v>0</v>
      </c>
      <c r="N301" s="3"/>
      <c r="O301" s="557">
        <f t="shared" si="22"/>
        <v>0</v>
      </c>
      <c r="Q301" s="543"/>
      <c r="S301" s="557">
        <f t="shared" si="23"/>
        <v>0</v>
      </c>
    </row>
    <row r="302" spans="2:19" s="496" customFormat="1" ht="12" hidden="1">
      <c r="B302" s="561">
        <v>290</v>
      </c>
      <c r="C302" s="572"/>
      <c r="D302" s="541"/>
      <c r="E302" s="541"/>
      <c r="F302" s="543"/>
      <c r="G302" s="36">
        <f t="shared" si="20"/>
        <v>0</v>
      </c>
      <c r="H302" s="554">
        <f>IF(Consolidado_Geral!$G$133=7.6%,-(0.0165+0.076)*F302,0)</f>
        <v>0</v>
      </c>
      <c r="I302" s="36">
        <f t="shared" si="21"/>
        <v>0</v>
      </c>
      <c r="J302" s="574"/>
      <c r="K302" s="549"/>
      <c r="M302" s="557">
        <f t="shared" si="24"/>
        <v>0</v>
      </c>
      <c r="N302" s="3"/>
      <c r="O302" s="557">
        <f t="shared" si="22"/>
        <v>0</v>
      </c>
      <c r="Q302" s="543"/>
      <c r="S302" s="557">
        <f t="shared" si="23"/>
        <v>0</v>
      </c>
    </row>
    <row r="303" spans="2:19" s="496" customFormat="1" ht="12" hidden="1">
      <c r="B303" s="561">
        <v>291</v>
      </c>
      <c r="C303" s="572"/>
      <c r="D303" s="541"/>
      <c r="E303" s="541"/>
      <c r="F303" s="543"/>
      <c r="G303" s="36">
        <f t="shared" si="20"/>
        <v>0</v>
      </c>
      <c r="H303" s="554">
        <f>IF(Consolidado_Geral!$G$133=7.6%,-(0.0165+0.076)*F303,0)</f>
        <v>0</v>
      </c>
      <c r="I303" s="36">
        <f t="shared" si="21"/>
        <v>0</v>
      </c>
      <c r="J303" s="574"/>
      <c r="K303" s="549"/>
      <c r="M303" s="557">
        <f t="shared" si="24"/>
        <v>0</v>
      </c>
      <c r="N303" s="3"/>
      <c r="O303" s="557">
        <f t="shared" si="22"/>
        <v>0</v>
      </c>
      <c r="Q303" s="543"/>
      <c r="S303" s="557">
        <f t="shared" si="23"/>
        <v>0</v>
      </c>
    </row>
    <row r="304" spans="2:19" s="496" customFormat="1" ht="12" hidden="1">
      <c r="B304" s="561">
        <v>292</v>
      </c>
      <c r="C304" s="572"/>
      <c r="D304" s="541"/>
      <c r="E304" s="541"/>
      <c r="F304" s="543"/>
      <c r="G304" s="36">
        <f t="shared" si="20"/>
        <v>0</v>
      </c>
      <c r="H304" s="554">
        <f>IF(Consolidado_Geral!$G$133=7.6%,-(0.0165+0.076)*F304,0)</f>
        <v>0</v>
      </c>
      <c r="I304" s="36">
        <f t="shared" si="21"/>
        <v>0</v>
      </c>
      <c r="J304" s="574"/>
      <c r="K304" s="549"/>
      <c r="M304" s="557">
        <f t="shared" si="24"/>
        <v>0</v>
      </c>
      <c r="N304" s="3"/>
      <c r="O304" s="557">
        <f t="shared" si="22"/>
        <v>0</v>
      </c>
      <c r="Q304" s="543"/>
      <c r="S304" s="557">
        <f t="shared" si="23"/>
        <v>0</v>
      </c>
    </row>
    <row r="305" spans="2:19" s="496" customFormat="1" ht="12" hidden="1">
      <c r="B305" s="561">
        <v>293</v>
      </c>
      <c r="C305" s="572"/>
      <c r="D305" s="541"/>
      <c r="E305" s="541"/>
      <c r="F305" s="543"/>
      <c r="G305" s="36">
        <f t="shared" si="20"/>
        <v>0</v>
      </c>
      <c r="H305" s="554">
        <f>IF(Consolidado_Geral!$G$133=7.6%,-(0.0165+0.076)*F305,0)</f>
        <v>0</v>
      </c>
      <c r="I305" s="36">
        <f t="shared" si="21"/>
        <v>0</v>
      </c>
      <c r="J305" s="574"/>
      <c r="K305" s="549"/>
      <c r="M305" s="557">
        <f t="shared" si="24"/>
        <v>0</v>
      </c>
      <c r="N305" s="3"/>
      <c r="O305" s="557">
        <f t="shared" si="22"/>
        <v>0</v>
      </c>
      <c r="Q305" s="543"/>
      <c r="S305" s="557">
        <f t="shared" si="23"/>
        <v>0</v>
      </c>
    </row>
    <row r="306" spans="2:19" s="496" customFormat="1" ht="12" hidden="1">
      <c r="B306" s="561">
        <v>294</v>
      </c>
      <c r="C306" s="572"/>
      <c r="D306" s="541"/>
      <c r="E306" s="541"/>
      <c r="F306" s="543"/>
      <c r="G306" s="36">
        <f t="shared" si="20"/>
        <v>0</v>
      </c>
      <c r="H306" s="554">
        <f>IF(Consolidado_Geral!$G$133=7.6%,-(0.0165+0.076)*F306,0)</f>
        <v>0</v>
      </c>
      <c r="I306" s="36">
        <f t="shared" si="21"/>
        <v>0</v>
      </c>
      <c r="J306" s="574"/>
      <c r="K306" s="549"/>
      <c r="M306" s="557">
        <f t="shared" si="24"/>
        <v>0</v>
      </c>
      <c r="N306" s="3"/>
      <c r="O306" s="557">
        <f t="shared" si="22"/>
        <v>0</v>
      </c>
      <c r="Q306" s="543"/>
      <c r="S306" s="557">
        <f t="shared" si="23"/>
        <v>0</v>
      </c>
    </row>
    <row r="307" spans="2:19" s="496" customFormat="1" ht="12" hidden="1">
      <c r="B307" s="561">
        <v>295</v>
      </c>
      <c r="C307" s="572"/>
      <c r="D307" s="541"/>
      <c r="E307" s="541"/>
      <c r="F307" s="543"/>
      <c r="G307" s="36">
        <f t="shared" si="20"/>
        <v>0</v>
      </c>
      <c r="H307" s="554">
        <f>IF(Consolidado_Geral!$G$133=7.6%,-(0.0165+0.076)*F307,0)</f>
        <v>0</v>
      </c>
      <c r="I307" s="36">
        <f t="shared" si="21"/>
        <v>0</v>
      </c>
      <c r="J307" s="574"/>
      <c r="K307" s="549"/>
      <c r="M307" s="557">
        <f t="shared" si="24"/>
        <v>0</v>
      </c>
      <c r="N307" s="3"/>
      <c r="O307" s="557">
        <f t="shared" si="22"/>
        <v>0</v>
      </c>
      <c r="Q307" s="543"/>
      <c r="S307" s="557">
        <f t="shared" si="23"/>
        <v>0</v>
      </c>
    </row>
    <row r="308" spans="2:19" s="496" customFormat="1" ht="12" hidden="1">
      <c r="B308" s="561">
        <v>296</v>
      </c>
      <c r="C308" s="572"/>
      <c r="D308" s="541"/>
      <c r="E308" s="541"/>
      <c r="F308" s="543"/>
      <c r="G308" s="36">
        <f t="shared" si="20"/>
        <v>0</v>
      </c>
      <c r="H308" s="554">
        <f>IF(Consolidado_Geral!$G$133=7.6%,-(0.0165+0.076)*F308,0)</f>
        <v>0</v>
      </c>
      <c r="I308" s="36">
        <f t="shared" si="21"/>
        <v>0</v>
      </c>
      <c r="J308" s="574"/>
      <c r="K308" s="549"/>
      <c r="M308" s="557">
        <f t="shared" si="24"/>
        <v>0</v>
      </c>
      <c r="N308" s="3"/>
      <c r="O308" s="557">
        <f t="shared" si="22"/>
        <v>0</v>
      </c>
      <c r="Q308" s="543"/>
      <c r="S308" s="557">
        <f t="shared" si="23"/>
        <v>0</v>
      </c>
    </row>
    <row r="309" spans="2:19" s="496" customFormat="1" ht="12" hidden="1">
      <c r="B309" s="561">
        <v>297</v>
      </c>
      <c r="C309" s="572"/>
      <c r="D309" s="541"/>
      <c r="E309" s="541"/>
      <c r="F309" s="543"/>
      <c r="G309" s="36">
        <f t="shared" si="20"/>
        <v>0</v>
      </c>
      <c r="H309" s="554">
        <f>IF(Consolidado_Geral!$G$133=7.6%,-(0.0165+0.076)*F309,0)</f>
        <v>0</v>
      </c>
      <c r="I309" s="36">
        <f t="shared" si="21"/>
        <v>0</v>
      </c>
      <c r="J309" s="574"/>
      <c r="K309" s="549"/>
      <c r="M309" s="557">
        <f t="shared" si="24"/>
        <v>0</v>
      </c>
      <c r="N309" s="3"/>
      <c r="O309" s="557">
        <f t="shared" si="22"/>
        <v>0</v>
      </c>
      <c r="Q309" s="543"/>
      <c r="S309" s="557">
        <f t="shared" si="23"/>
        <v>0</v>
      </c>
    </row>
    <row r="310" spans="2:19" s="496" customFormat="1" ht="12" hidden="1">
      <c r="B310" s="561">
        <v>298</v>
      </c>
      <c r="C310" s="572"/>
      <c r="D310" s="541"/>
      <c r="E310" s="541"/>
      <c r="F310" s="543"/>
      <c r="G310" s="36">
        <f t="shared" si="20"/>
        <v>0</v>
      </c>
      <c r="H310" s="554">
        <f>IF(Consolidado_Geral!$G$133=7.6%,-(0.0165+0.076)*F310,0)</f>
        <v>0</v>
      </c>
      <c r="I310" s="36">
        <f t="shared" si="21"/>
        <v>0</v>
      </c>
      <c r="J310" s="574"/>
      <c r="K310" s="549"/>
      <c r="M310" s="557">
        <f t="shared" si="24"/>
        <v>0</v>
      </c>
      <c r="N310" s="3"/>
      <c r="O310" s="557">
        <f t="shared" si="22"/>
        <v>0</v>
      </c>
      <c r="Q310" s="543"/>
      <c r="S310" s="557">
        <f t="shared" si="23"/>
        <v>0</v>
      </c>
    </row>
    <row r="311" spans="2:19" s="496" customFormat="1" ht="12" hidden="1">
      <c r="B311" s="561">
        <v>299</v>
      </c>
      <c r="C311" s="572"/>
      <c r="D311" s="541"/>
      <c r="E311" s="541"/>
      <c r="F311" s="543"/>
      <c r="G311" s="36">
        <f t="shared" si="20"/>
        <v>0</v>
      </c>
      <c r="H311" s="554">
        <f>IF(Consolidado_Geral!$G$133=7.6%,-(0.0165+0.076)*F311,0)</f>
        <v>0</v>
      </c>
      <c r="I311" s="36">
        <f t="shared" si="21"/>
        <v>0</v>
      </c>
      <c r="J311" s="574"/>
      <c r="K311" s="549"/>
      <c r="M311" s="557">
        <f t="shared" si="24"/>
        <v>0</v>
      </c>
      <c r="N311" s="3"/>
      <c r="O311" s="557">
        <f t="shared" si="22"/>
        <v>0</v>
      </c>
      <c r="Q311" s="543"/>
      <c r="S311" s="557">
        <f t="shared" si="23"/>
        <v>0</v>
      </c>
    </row>
    <row r="312" spans="2:19" s="496" customFormat="1" ht="12" hidden="1">
      <c r="B312" s="561">
        <v>300</v>
      </c>
      <c r="C312" s="572"/>
      <c r="D312" s="541"/>
      <c r="E312" s="541"/>
      <c r="F312" s="543"/>
      <c r="G312" s="36">
        <f t="shared" si="20"/>
        <v>0</v>
      </c>
      <c r="H312" s="554">
        <f>IF(Consolidado_Geral!$G$133=7.6%,-(0.0165+0.076)*F312,0)</f>
        <v>0</v>
      </c>
      <c r="I312" s="36">
        <f t="shared" si="21"/>
        <v>0</v>
      </c>
      <c r="J312" s="574"/>
      <c r="K312" s="549"/>
      <c r="M312" s="557">
        <f t="shared" si="24"/>
        <v>0</v>
      </c>
      <c r="N312" s="3"/>
      <c r="O312" s="557">
        <f t="shared" si="22"/>
        <v>0</v>
      </c>
      <c r="Q312" s="543"/>
      <c r="S312" s="557">
        <f t="shared" si="23"/>
        <v>0</v>
      </c>
    </row>
    <row r="313" spans="2:19" s="496" customFormat="1" ht="12" hidden="1">
      <c r="B313" s="561">
        <v>301</v>
      </c>
      <c r="C313" s="572"/>
      <c r="D313" s="541"/>
      <c r="E313" s="541"/>
      <c r="F313" s="543"/>
      <c r="G313" s="36">
        <f t="shared" si="20"/>
        <v>0</v>
      </c>
      <c r="H313" s="554">
        <f>IF(Consolidado_Geral!$G$133=7.6%,-(0.0165+0.076)*F313,0)</f>
        <v>0</v>
      </c>
      <c r="I313" s="36">
        <f t="shared" si="21"/>
        <v>0</v>
      </c>
      <c r="J313" s="574"/>
      <c r="K313" s="549"/>
      <c r="M313" s="557">
        <f t="shared" si="24"/>
        <v>0</v>
      </c>
      <c r="N313" s="3"/>
      <c r="O313" s="557">
        <f t="shared" si="22"/>
        <v>0</v>
      </c>
      <c r="Q313" s="543"/>
      <c r="S313" s="557">
        <f t="shared" si="23"/>
        <v>0</v>
      </c>
    </row>
    <row r="314" spans="2:19" s="496" customFormat="1" ht="12" hidden="1">
      <c r="B314" s="561">
        <v>302</v>
      </c>
      <c r="C314" s="572"/>
      <c r="D314" s="541"/>
      <c r="E314" s="541"/>
      <c r="F314" s="543"/>
      <c r="G314" s="36">
        <f t="shared" si="20"/>
        <v>0</v>
      </c>
      <c r="H314" s="554">
        <f>IF(Consolidado_Geral!$G$133=7.6%,-(0.0165+0.076)*F314,0)</f>
        <v>0</v>
      </c>
      <c r="I314" s="36">
        <f t="shared" si="21"/>
        <v>0</v>
      </c>
      <c r="J314" s="574"/>
      <c r="K314" s="549"/>
      <c r="M314" s="557">
        <f t="shared" si="24"/>
        <v>0</v>
      </c>
      <c r="N314" s="3"/>
      <c r="O314" s="557">
        <f t="shared" si="22"/>
        <v>0</v>
      </c>
      <c r="Q314" s="543"/>
      <c r="S314" s="557">
        <f t="shared" si="23"/>
        <v>0</v>
      </c>
    </row>
    <row r="315" spans="2:19" s="496" customFormat="1" ht="12" hidden="1">
      <c r="B315" s="561">
        <v>303</v>
      </c>
      <c r="C315" s="572"/>
      <c r="D315" s="541"/>
      <c r="E315" s="541"/>
      <c r="F315" s="543"/>
      <c r="G315" s="36">
        <f t="shared" si="20"/>
        <v>0</v>
      </c>
      <c r="H315" s="554">
        <f>IF(Consolidado_Geral!$G$133=7.6%,-(0.0165+0.076)*F315,0)</f>
        <v>0</v>
      </c>
      <c r="I315" s="36">
        <f t="shared" si="21"/>
        <v>0</v>
      </c>
      <c r="J315" s="574"/>
      <c r="K315" s="549"/>
      <c r="M315" s="557">
        <f t="shared" si="24"/>
        <v>0</v>
      </c>
      <c r="N315" s="3"/>
      <c r="O315" s="557">
        <f t="shared" si="22"/>
        <v>0</v>
      </c>
      <c r="Q315" s="543"/>
      <c r="S315" s="557">
        <f t="shared" si="23"/>
        <v>0</v>
      </c>
    </row>
    <row r="316" spans="2:19" s="496" customFormat="1" ht="12" hidden="1">
      <c r="B316" s="561">
        <v>304</v>
      </c>
      <c r="C316" s="572"/>
      <c r="D316" s="541"/>
      <c r="E316" s="541"/>
      <c r="F316" s="543"/>
      <c r="G316" s="36">
        <f t="shared" si="20"/>
        <v>0</v>
      </c>
      <c r="H316" s="554">
        <f>IF(Consolidado_Geral!$G$133=7.6%,-(0.0165+0.076)*F316,0)</f>
        <v>0</v>
      </c>
      <c r="I316" s="36">
        <f t="shared" si="21"/>
        <v>0</v>
      </c>
      <c r="J316" s="574"/>
      <c r="K316" s="549"/>
      <c r="M316" s="557">
        <f t="shared" si="24"/>
        <v>0</v>
      </c>
      <c r="N316" s="3"/>
      <c r="O316" s="557">
        <f t="shared" si="22"/>
        <v>0</v>
      </c>
      <c r="Q316" s="543"/>
      <c r="S316" s="557">
        <f t="shared" si="23"/>
        <v>0</v>
      </c>
    </row>
    <row r="317" spans="2:19" s="496" customFormat="1" ht="12" hidden="1">
      <c r="B317" s="561">
        <v>305</v>
      </c>
      <c r="C317" s="572"/>
      <c r="D317" s="541"/>
      <c r="E317" s="541"/>
      <c r="F317" s="543"/>
      <c r="G317" s="36">
        <f t="shared" si="20"/>
        <v>0</v>
      </c>
      <c r="H317" s="554">
        <f>IF(Consolidado_Geral!$G$133=7.6%,-(0.0165+0.076)*F317,0)</f>
        <v>0</v>
      </c>
      <c r="I317" s="36">
        <f t="shared" si="21"/>
        <v>0</v>
      </c>
      <c r="J317" s="574"/>
      <c r="K317" s="549"/>
      <c r="M317" s="557">
        <f t="shared" si="24"/>
        <v>0</v>
      </c>
      <c r="N317" s="3"/>
      <c r="O317" s="557">
        <f t="shared" si="22"/>
        <v>0</v>
      </c>
      <c r="Q317" s="543"/>
      <c r="S317" s="557">
        <f t="shared" si="23"/>
        <v>0</v>
      </c>
    </row>
    <row r="318" spans="2:19" s="496" customFormat="1" ht="12" hidden="1">
      <c r="B318" s="561">
        <v>306</v>
      </c>
      <c r="C318" s="572"/>
      <c r="D318" s="541"/>
      <c r="E318" s="541"/>
      <c r="F318" s="543"/>
      <c r="G318" s="36">
        <f t="shared" si="20"/>
        <v>0</v>
      </c>
      <c r="H318" s="554">
        <f>IF(Consolidado_Geral!$G$133=7.6%,-(0.0165+0.076)*F318,0)</f>
        <v>0</v>
      </c>
      <c r="I318" s="36">
        <f t="shared" si="21"/>
        <v>0</v>
      </c>
      <c r="J318" s="574"/>
      <c r="K318" s="549"/>
      <c r="M318" s="557">
        <f t="shared" si="24"/>
        <v>0</v>
      </c>
      <c r="N318" s="3"/>
      <c r="O318" s="557">
        <f t="shared" si="22"/>
        <v>0</v>
      </c>
      <c r="Q318" s="543"/>
      <c r="S318" s="557">
        <f t="shared" si="23"/>
        <v>0</v>
      </c>
    </row>
    <row r="319" spans="2:19" s="496" customFormat="1" ht="12" hidden="1">
      <c r="B319" s="561">
        <v>307</v>
      </c>
      <c r="C319" s="572"/>
      <c r="D319" s="541"/>
      <c r="E319" s="541"/>
      <c r="F319" s="543"/>
      <c r="G319" s="36">
        <f t="shared" si="20"/>
        <v>0</v>
      </c>
      <c r="H319" s="554">
        <f>IF(Consolidado_Geral!$G$133=7.6%,-(0.0165+0.076)*F319,0)</f>
        <v>0</v>
      </c>
      <c r="I319" s="36">
        <f t="shared" si="21"/>
        <v>0</v>
      </c>
      <c r="J319" s="574"/>
      <c r="K319" s="549"/>
      <c r="M319" s="557">
        <f t="shared" si="24"/>
        <v>0</v>
      </c>
      <c r="N319" s="3"/>
      <c r="O319" s="557">
        <f t="shared" si="22"/>
        <v>0</v>
      </c>
      <c r="Q319" s="543"/>
      <c r="S319" s="557">
        <f t="shared" si="23"/>
        <v>0</v>
      </c>
    </row>
    <row r="320" spans="2:19" s="496" customFormat="1" ht="12" hidden="1">
      <c r="B320" s="561">
        <v>308</v>
      </c>
      <c r="C320" s="572"/>
      <c r="D320" s="541"/>
      <c r="E320" s="541"/>
      <c r="F320" s="543"/>
      <c r="G320" s="36">
        <f t="shared" si="20"/>
        <v>0</v>
      </c>
      <c r="H320" s="554">
        <f>IF(Consolidado_Geral!$G$133=7.6%,-(0.0165+0.076)*F320,0)</f>
        <v>0</v>
      </c>
      <c r="I320" s="36">
        <f t="shared" si="21"/>
        <v>0</v>
      </c>
      <c r="J320" s="574"/>
      <c r="K320" s="549"/>
      <c r="M320" s="557">
        <f t="shared" si="24"/>
        <v>0</v>
      </c>
      <c r="N320" s="3"/>
      <c r="O320" s="557">
        <f t="shared" si="22"/>
        <v>0</v>
      </c>
      <c r="Q320" s="543"/>
      <c r="S320" s="557">
        <f t="shared" si="23"/>
        <v>0</v>
      </c>
    </row>
    <row r="321" spans="2:19" s="496" customFormat="1" ht="12" hidden="1">
      <c r="B321" s="561">
        <v>309</v>
      </c>
      <c r="C321" s="572"/>
      <c r="D321" s="541"/>
      <c r="E321" s="541"/>
      <c r="F321" s="543"/>
      <c r="G321" s="36">
        <f t="shared" si="20"/>
        <v>0</v>
      </c>
      <c r="H321" s="554">
        <f>IF(Consolidado_Geral!$G$133=7.6%,-(0.0165+0.076)*F321,0)</f>
        <v>0</v>
      </c>
      <c r="I321" s="36">
        <f t="shared" si="21"/>
        <v>0</v>
      </c>
      <c r="J321" s="574"/>
      <c r="K321" s="549"/>
      <c r="M321" s="557">
        <f t="shared" si="24"/>
        <v>0</v>
      </c>
      <c r="N321" s="3"/>
      <c r="O321" s="557">
        <f t="shared" si="22"/>
        <v>0</v>
      </c>
      <c r="Q321" s="543"/>
      <c r="S321" s="557">
        <f t="shared" si="23"/>
        <v>0</v>
      </c>
    </row>
    <row r="322" spans="2:19" s="496" customFormat="1" ht="12" hidden="1">
      <c r="B322" s="561">
        <v>310</v>
      </c>
      <c r="C322" s="572"/>
      <c r="D322" s="541"/>
      <c r="E322" s="541"/>
      <c r="F322" s="543"/>
      <c r="G322" s="36">
        <f t="shared" si="20"/>
        <v>0</v>
      </c>
      <c r="H322" s="554">
        <f>IF(Consolidado_Geral!$G$133=7.6%,-(0.0165+0.076)*F322,0)</f>
        <v>0</v>
      </c>
      <c r="I322" s="36">
        <f t="shared" si="21"/>
        <v>0</v>
      </c>
      <c r="J322" s="574"/>
      <c r="K322" s="549"/>
      <c r="M322" s="557">
        <f t="shared" si="24"/>
        <v>0</v>
      </c>
      <c r="N322" s="3"/>
      <c r="O322" s="557">
        <f t="shared" si="22"/>
        <v>0</v>
      </c>
      <c r="Q322" s="543"/>
      <c r="S322" s="557">
        <f t="shared" si="23"/>
        <v>0</v>
      </c>
    </row>
    <row r="323" spans="2:19" s="496" customFormat="1" ht="12" hidden="1">
      <c r="B323" s="561">
        <v>311</v>
      </c>
      <c r="C323" s="572"/>
      <c r="D323" s="541"/>
      <c r="E323" s="541"/>
      <c r="F323" s="543"/>
      <c r="G323" s="36">
        <f t="shared" si="20"/>
        <v>0</v>
      </c>
      <c r="H323" s="554">
        <f>IF(Consolidado_Geral!$G$133=7.6%,-(0.0165+0.076)*F323,0)</f>
        <v>0</v>
      </c>
      <c r="I323" s="36">
        <f t="shared" si="21"/>
        <v>0</v>
      </c>
      <c r="J323" s="574"/>
      <c r="K323" s="549"/>
      <c r="M323" s="557">
        <f t="shared" si="24"/>
        <v>0</v>
      </c>
      <c r="N323" s="3"/>
      <c r="O323" s="557">
        <f t="shared" si="22"/>
        <v>0</v>
      </c>
      <c r="Q323" s="543"/>
      <c r="S323" s="557">
        <f t="shared" si="23"/>
        <v>0</v>
      </c>
    </row>
    <row r="324" spans="2:19" s="496" customFormat="1" ht="12" hidden="1">
      <c r="B324" s="561">
        <v>312</v>
      </c>
      <c r="C324" s="572"/>
      <c r="D324" s="541"/>
      <c r="E324" s="541"/>
      <c r="F324" s="543"/>
      <c r="G324" s="36">
        <f t="shared" si="20"/>
        <v>0</v>
      </c>
      <c r="H324" s="554">
        <f>IF(Consolidado_Geral!$G$133=7.6%,-(0.0165+0.076)*F324,0)</f>
        <v>0</v>
      </c>
      <c r="I324" s="36">
        <f t="shared" si="21"/>
        <v>0</v>
      </c>
      <c r="J324" s="574"/>
      <c r="K324" s="549"/>
      <c r="M324" s="557">
        <f t="shared" si="24"/>
        <v>0</v>
      </c>
      <c r="N324" s="3"/>
      <c r="O324" s="557">
        <f t="shared" si="22"/>
        <v>0</v>
      </c>
      <c r="Q324" s="543"/>
      <c r="S324" s="557">
        <f t="shared" si="23"/>
        <v>0</v>
      </c>
    </row>
    <row r="325" spans="2:19" s="496" customFormat="1" ht="12" hidden="1">
      <c r="B325" s="561">
        <v>313</v>
      </c>
      <c r="C325" s="572"/>
      <c r="D325" s="541"/>
      <c r="E325" s="541"/>
      <c r="F325" s="543"/>
      <c r="G325" s="36">
        <f t="shared" si="20"/>
        <v>0</v>
      </c>
      <c r="H325" s="554">
        <f>IF(Consolidado_Geral!$G$133=7.6%,-(0.0165+0.076)*F325,0)</f>
        <v>0</v>
      </c>
      <c r="I325" s="36">
        <f t="shared" si="21"/>
        <v>0</v>
      </c>
      <c r="J325" s="574"/>
      <c r="K325" s="549"/>
      <c r="M325" s="557">
        <f t="shared" si="24"/>
        <v>0</v>
      </c>
      <c r="N325" s="3"/>
      <c r="O325" s="557">
        <f t="shared" si="22"/>
        <v>0</v>
      </c>
      <c r="Q325" s="543"/>
      <c r="S325" s="557">
        <f t="shared" si="23"/>
        <v>0</v>
      </c>
    </row>
    <row r="326" spans="2:19" s="496" customFormat="1" ht="12" hidden="1">
      <c r="B326" s="561">
        <v>314</v>
      </c>
      <c r="C326" s="572"/>
      <c r="D326" s="541"/>
      <c r="E326" s="541"/>
      <c r="F326" s="543"/>
      <c r="G326" s="36">
        <f t="shared" si="20"/>
        <v>0</v>
      </c>
      <c r="H326" s="554">
        <f>IF(Consolidado_Geral!$G$133=7.6%,-(0.0165+0.076)*F326,0)</f>
        <v>0</v>
      </c>
      <c r="I326" s="36">
        <f t="shared" si="21"/>
        <v>0</v>
      </c>
      <c r="J326" s="574"/>
      <c r="K326" s="549"/>
      <c r="M326" s="557">
        <f t="shared" si="24"/>
        <v>0</v>
      </c>
      <c r="N326" s="3"/>
      <c r="O326" s="557">
        <f t="shared" si="22"/>
        <v>0</v>
      </c>
      <c r="Q326" s="543"/>
      <c r="S326" s="557">
        <f t="shared" si="23"/>
        <v>0</v>
      </c>
    </row>
    <row r="327" spans="2:19" s="496" customFormat="1" ht="12" hidden="1">
      <c r="B327" s="561">
        <v>315</v>
      </c>
      <c r="C327" s="572"/>
      <c r="D327" s="541"/>
      <c r="E327" s="541"/>
      <c r="F327" s="543"/>
      <c r="G327" s="36">
        <f t="shared" si="20"/>
        <v>0</v>
      </c>
      <c r="H327" s="554">
        <f>IF(Consolidado_Geral!$G$133=7.6%,-(0.0165+0.076)*F327,0)</f>
        <v>0</v>
      </c>
      <c r="I327" s="36">
        <f t="shared" si="21"/>
        <v>0</v>
      </c>
      <c r="J327" s="574"/>
      <c r="K327" s="549"/>
      <c r="M327" s="557">
        <f t="shared" si="24"/>
        <v>0</v>
      </c>
      <c r="N327" s="3"/>
      <c r="O327" s="557">
        <f t="shared" si="22"/>
        <v>0</v>
      </c>
      <c r="Q327" s="543"/>
      <c r="S327" s="557">
        <f t="shared" si="23"/>
        <v>0</v>
      </c>
    </row>
    <row r="328" spans="2:19" s="496" customFormat="1" ht="12" hidden="1">
      <c r="B328" s="561">
        <v>316</v>
      </c>
      <c r="C328" s="572"/>
      <c r="D328" s="541"/>
      <c r="E328" s="541"/>
      <c r="F328" s="543"/>
      <c r="G328" s="36">
        <f t="shared" si="20"/>
        <v>0</v>
      </c>
      <c r="H328" s="554">
        <f>IF(Consolidado_Geral!$G$133=7.6%,-(0.0165+0.076)*F328,0)</f>
        <v>0</v>
      </c>
      <c r="I328" s="36">
        <f t="shared" si="21"/>
        <v>0</v>
      </c>
      <c r="J328" s="574"/>
      <c r="K328" s="549"/>
      <c r="M328" s="557">
        <f t="shared" si="24"/>
        <v>0</v>
      </c>
      <c r="N328" s="3"/>
      <c r="O328" s="557">
        <f t="shared" si="22"/>
        <v>0</v>
      </c>
      <c r="Q328" s="543"/>
      <c r="S328" s="557">
        <f t="shared" si="23"/>
        <v>0</v>
      </c>
    </row>
    <row r="329" spans="2:19" s="496" customFormat="1" ht="12" hidden="1">
      <c r="B329" s="561">
        <v>317</v>
      </c>
      <c r="C329" s="572"/>
      <c r="D329" s="541"/>
      <c r="E329" s="541"/>
      <c r="F329" s="543"/>
      <c r="G329" s="36">
        <f t="shared" si="20"/>
        <v>0</v>
      </c>
      <c r="H329" s="554">
        <f>IF(Consolidado_Geral!$G$133=7.6%,-(0.0165+0.076)*F329,0)</f>
        <v>0</v>
      </c>
      <c r="I329" s="36">
        <f t="shared" si="21"/>
        <v>0</v>
      </c>
      <c r="J329" s="574"/>
      <c r="K329" s="549"/>
      <c r="M329" s="557">
        <f t="shared" si="24"/>
        <v>0</v>
      </c>
      <c r="N329" s="3"/>
      <c r="O329" s="557">
        <f t="shared" si="22"/>
        <v>0</v>
      </c>
      <c r="Q329" s="543"/>
      <c r="S329" s="557">
        <f t="shared" si="23"/>
        <v>0</v>
      </c>
    </row>
    <row r="330" spans="2:19" s="496" customFormat="1" ht="12" hidden="1">
      <c r="B330" s="561">
        <v>318</v>
      </c>
      <c r="C330" s="572"/>
      <c r="D330" s="541"/>
      <c r="E330" s="541"/>
      <c r="F330" s="543"/>
      <c r="G330" s="36">
        <f t="shared" si="20"/>
        <v>0</v>
      </c>
      <c r="H330" s="554">
        <f>IF(Consolidado_Geral!$G$133=7.6%,-(0.0165+0.076)*F330,0)</f>
        <v>0</v>
      </c>
      <c r="I330" s="36">
        <f t="shared" si="21"/>
        <v>0</v>
      </c>
      <c r="J330" s="574"/>
      <c r="K330" s="549"/>
      <c r="M330" s="557">
        <f t="shared" si="24"/>
        <v>0</v>
      </c>
      <c r="N330" s="3"/>
      <c r="O330" s="557">
        <f t="shared" si="22"/>
        <v>0</v>
      </c>
      <c r="Q330" s="543"/>
      <c r="S330" s="557">
        <f t="shared" si="23"/>
        <v>0</v>
      </c>
    </row>
    <row r="331" spans="2:19" s="496" customFormat="1" ht="12" hidden="1">
      <c r="B331" s="561">
        <v>319</v>
      </c>
      <c r="C331" s="572"/>
      <c r="D331" s="541"/>
      <c r="E331" s="541"/>
      <c r="F331" s="543"/>
      <c r="G331" s="36">
        <f t="shared" si="20"/>
        <v>0</v>
      </c>
      <c r="H331" s="554">
        <f>IF(Consolidado_Geral!$G$133=7.6%,-(0.0165+0.076)*F331,0)</f>
        <v>0</v>
      </c>
      <c r="I331" s="36">
        <f t="shared" si="21"/>
        <v>0</v>
      </c>
      <c r="J331" s="574"/>
      <c r="K331" s="549"/>
      <c r="M331" s="557">
        <f t="shared" si="24"/>
        <v>0</v>
      </c>
      <c r="N331" s="3"/>
      <c r="O331" s="557">
        <f t="shared" si="22"/>
        <v>0</v>
      </c>
      <c r="Q331" s="543"/>
      <c r="S331" s="557">
        <f t="shared" si="23"/>
        <v>0</v>
      </c>
    </row>
    <row r="332" spans="2:19" s="496" customFormat="1" ht="12" hidden="1">
      <c r="B332" s="561">
        <v>320</v>
      </c>
      <c r="C332" s="572"/>
      <c r="D332" s="541"/>
      <c r="E332" s="541"/>
      <c r="F332" s="543"/>
      <c r="G332" s="36">
        <f t="shared" si="20"/>
        <v>0</v>
      </c>
      <c r="H332" s="554">
        <f>IF(Consolidado_Geral!$G$133=7.6%,-(0.0165+0.076)*F332,0)</f>
        <v>0</v>
      </c>
      <c r="I332" s="36">
        <f t="shared" si="21"/>
        <v>0</v>
      </c>
      <c r="J332" s="574"/>
      <c r="K332" s="549"/>
      <c r="M332" s="557">
        <f t="shared" si="24"/>
        <v>0</v>
      </c>
      <c r="N332" s="3"/>
      <c r="O332" s="557">
        <f t="shared" si="22"/>
        <v>0</v>
      </c>
      <c r="Q332" s="543"/>
      <c r="S332" s="557">
        <f t="shared" si="23"/>
        <v>0</v>
      </c>
    </row>
    <row r="333" spans="2:19" s="496" customFormat="1" ht="12" hidden="1">
      <c r="B333" s="561">
        <v>321</v>
      </c>
      <c r="C333" s="572"/>
      <c r="D333" s="541"/>
      <c r="E333" s="541"/>
      <c r="F333" s="543"/>
      <c r="G333" s="36">
        <f>F333*E333</f>
        <v>0</v>
      </c>
      <c r="H333" s="554">
        <f>IF(Consolidado_Geral!$G$133=7.6%,-(0.0165+0.076)*F333,0)</f>
        <v>0</v>
      </c>
      <c r="I333" s="36">
        <f>H333*E333</f>
        <v>0</v>
      </c>
      <c r="J333" s="574"/>
      <c r="K333" s="549"/>
      <c r="M333" s="557">
        <f t="shared" si="24"/>
        <v>0</v>
      </c>
      <c r="N333" s="3"/>
      <c r="O333" s="557">
        <f t="shared" si="22"/>
        <v>0</v>
      </c>
      <c r="Q333" s="543"/>
      <c r="S333" s="557">
        <f t="shared" si="23"/>
        <v>0</v>
      </c>
    </row>
    <row r="334" spans="2:19" s="496" customFormat="1" ht="12" hidden="1">
      <c r="B334" s="561">
        <v>322</v>
      </c>
      <c r="C334" s="572"/>
      <c r="D334" s="541"/>
      <c r="E334" s="541"/>
      <c r="F334" s="543"/>
      <c r="G334" s="36">
        <f>F334*E334</f>
        <v>0</v>
      </c>
      <c r="H334" s="554">
        <f>IF(Consolidado_Geral!$G$133=7.6%,-(0.0165+0.076)*F334,0)</f>
        <v>0</v>
      </c>
      <c r="I334" s="36">
        <f>H334*E334</f>
        <v>0</v>
      </c>
      <c r="J334" s="574"/>
      <c r="K334" s="549"/>
      <c r="M334" s="557">
        <f>IF(E334&gt;0,(F334+H334)-J334,0)</f>
        <v>0</v>
      </c>
      <c r="N334" s="3"/>
      <c r="O334" s="557">
        <f t="shared" si="22"/>
        <v>0</v>
      </c>
      <c r="Q334" s="543"/>
      <c r="S334" s="557">
        <f t="shared" si="23"/>
        <v>0</v>
      </c>
    </row>
    <row r="335" spans="2:19" s="496" customFormat="1" ht="12" hidden="1">
      <c r="B335" s="561">
        <v>323</v>
      </c>
      <c r="C335" s="572"/>
      <c r="D335" s="541"/>
      <c r="E335" s="541"/>
      <c r="F335" s="543"/>
      <c r="G335" s="36">
        <f>F335*E335</f>
        <v>0</v>
      </c>
      <c r="H335" s="554">
        <f>IF(Consolidado_Geral!$G$133=7.6%,-(0.0165+0.076)*F335,0)</f>
        <v>0</v>
      </c>
      <c r="I335" s="36">
        <f>H335*E335</f>
        <v>0</v>
      </c>
      <c r="J335" s="574"/>
      <c r="K335" s="549"/>
      <c r="M335" s="557">
        <f>IF(E335&gt;0,(F335+H335)-J335,0)</f>
        <v>0</v>
      </c>
      <c r="N335" s="3"/>
      <c r="O335" s="557">
        <f t="shared" si="22"/>
        <v>0</v>
      </c>
      <c r="Q335" s="543"/>
      <c r="S335" s="557">
        <f t="shared" si="23"/>
        <v>0</v>
      </c>
    </row>
    <row r="336" spans="2:19" s="496" customFormat="1" ht="12" hidden="1">
      <c r="B336" s="561">
        <v>324</v>
      </c>
      <c r="C336" s="572"/>
      <c r="D336" s="541"/>
      <c r="E336" s="541"/>
      <c r="F336" s="543"/>
      <c r="G336" s="36">
        <f>F336*E336</f>
        <v>0</v>
      </c>
      <c r="H336" s="554">
        <f>IF(Consolidado_Geral!$G$133=7.6%,-(0.0165+0.076)*F336,0)</f>
        <v>0</v>
      </c>
      <c r="I336" s="36">
        <f>H336*E336</f>
        <v>0</v>
      </c>
      <c r="J336" s="574"/>
      <c r="K336" s="549"/>
      <c r="M336" s="557">
        <f>IF(E336&gt;0,(F336+H336)-J336,0)</f>
        <v>0</v>
      </c>
      <c r="N336" s="3"/>
      <c r="O336" s="557">
        <f t="shared" si="22"/>
        <v>0</v>
      </c>
      <c r="Q336" s="543"/>
      <c r="S336" s="557">
        <f t="shared" si="23"/>
        <v>0</v>
      </c>
    </row>
    <row r="337" spans="2:19" s="496" customFormat="1" hidden="1" thickBot="1">
      <c r="B337" s="561">
        <v>325</v>
      </c>
      <c r="C337" s="573"/>
      <c r="D337" s="545"/>
      <c r="E337" s="545"/>
      <c r="F337" s="547"/>
      <c r="G337" s="36">
        <f>F337*E337</f>
        <v>0</v>
      </c>
      <c r="H337" s="555">
        <f>IF(Consolidado_Geral!$G$133=7.6%,-(0.0165+0.076)*F337,0)</f>
        <v>0</v>
      </c>
      <c r="I337" s="36">
        <f>H337*E337</f>
        <v>0</v>
      </c>
      <c r="J337" s="575"/>
      <c r="K337" s="551"/>
      <c r="M337" s="558">
        <f>IF(E337&gt;0,(F337+H337)-J337,0)</f>
        <v>0</v>
      </c>
      <c r="N337" s="3"/>
      <c r="O337" s="558">
        <f t="shared" si="22"/>
        <v>0</v>
      </c>
      <c r="Q337" s="547"/>
      <c r="S337" s="558">
        <f t="shared" si="23"/>
        <v>0</v>
      </c>
    </row>
    <row r="338" spans="2:19" ht="15.75" customHeight="1"/>
    <row r="339" spans="2:19" ht="15.75" customHeight="1"/>
    <row r="340" spans="2:19" ht="15.75" customHeight="1"/>
    <row r="341" spans="2:19" ht="15.75" customHeight="1"/>
    <row r="342" spans="2:19" ht="15.75" customHeight="1"/>
    <row r="343" spans="2:19" ht="15.75" customHeight="1"/>
    <row r="344" spans="2:19" ht="15.75" customHeight="1"/>
    <row r="345" spans="2:19" ht="15.75" customHeight="1"/>
    <row r="346" spans="2:19" ht="15.75" customHeight="1"/>
    <row r="347" spans="2:19" ht="15.75" customHeight="1"/>
    <row r="348" spans="2:19" ht="15.75" customHeight="1"/>
    <row r="349" spans="2:19" ht="15.75" customHeight="1"/>
    <row r="350" spans="2:19" ht="15.75" customHeight="1"/>
    <row r="351" spans="2:19" ht="15.75" customHeight="1"/>
  </sheetData>
  <sheetProtection password="CADB" sheet="1" objects="1" scenarios="1" formatCells="0" formatColumns="0" formatRows="0"/>
  <mergeCells count="1">
    <mergeCell ref="C4:S4"/>
  </mergeCells>
  <phoneticPr fontId="0" type="noConversion"/>
  <conditionalFormatting sqref="Q10 S10">
    <cfRule type="cellIs" dxfId="7" priority="1" stopIfTrue="1" operator="greaterThan">
      <formula>0.01</formula>
    </cfRule>
  </conditionalFormatting>
  <hyperlinks>
    <hyperlink ref="C2" r:id="rId1"/>
  </hyperlinks>
  <printOptions horizontalCentered="1"/>
  <pageMargins left="0.31" right="0.2" top="0.65" bottom="0.68" header="0.35" footer="0.51181102362204722"/>
  <pageSetup paperSize="9" scale="95" orientation="landscape" blackAndWhite="1" r:id="rId2"/>
  <headerFooter alignWithMargins="0">
    <oddFooter>&amp;R&amp;F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28</vt:i4>
      </vt:variant>
    </vt:vector>
  </HeadingPairs>
  <TitlesOfParts>
    <vt:vector size="46" baseType="lpstr">
      <vt:lpstr>Dados</vt:lpstr>
      <vt:lpstr>Efetivo</vt:lpstr>
      <vt:lpstr>PF</vt:lpstr>
      <vt:lpstr>Benefícios</vt:lpstr>
      <vt:lpstr>Uniforme e EPI</vt:lpstr>
      <vt:lpstr>Material</vt:lpstr>
      <vt:lpstr>DE</vt:lpstr>
      <vt:lpstr>DOV</vt:lpstr>
      <vt:lpstr>DV</vt:lpstr>
      <vt:lpstr>DOE_h</vt:lpstr>
      <vt:lpstr>DG</vt:lpstr>
      <vt:lpstr>E S</vt:lpstr>
      <vt:lpstr>MC</vt:lpstr>
      <vt:lpstr>ADII</vt:lpstr>
      <vt:lpstr>Resumo</vt:lpstr>
      <vt:lpstr>Consolidado_Geral</vt:lpstr>
      <vt:lpstr>Consolidado_A</vt:lpstr>
      <vt:lpstr>Simulador</vt:lpstr>
      <vt:lpstr>ADII!Area_de_impressao</vt:lpstr>
      <vt:lpstr>Consolidado_A!Area_de_impressao</vt:lpstr>
      <vt:lpstr>Consolidado_Geral!Area_de_impressao</vt:lpstr>
      <vt:lpstr>DE!Area_de_impressao</vt:lpstr>
      <vt:lpstr>DG!Area_de_impressao</vt:lpstr>
      <vt:lpstr>DOV!Area_de_impressao</vt:lpstr>
      <vt:lpstr>DV!Area_de_impressao</vt:lpstr>
      <vt:lpstr>'E S'!Area_de_impressao</vt:lpstr>
      <vt:lpstr>Efetivo!Area_de_impressao</vt:lpstr>
      <vt:lpstr>Material!Area_de_impressao</vt:lpstr>
      <vt:lpstr>MC!Area_de_impressao</vt:lpstr>
      <vt:lpstr>Resumo!Area_de_impressao</vt:lpstr>
      <vt:lpstr>'Uniforme e EPI'!Area_de_impressao</vt:lpstr>
      <vt:lpstr>Efetivo</vt:lpstr>
      <vt:lpstr>HORARIO</vt:lpstr>
      <vt:lpstr>REPOUSO</vt:lpstr>
      <vt:lpstr>SALARIOS</vt:lpstr>
      <vt:lpstr>Consolidado_A!SGCO_Valor_Global</vt:lpstr>
      <vt:lpstr>SGCO_Valor_Global</vt:lpstr>
      <vt:lpstr>ADII!Titulos_de_impressao</vt:lpstr>
      <vt:lpstr>Benefícios!Titulos_de_impressao</vt:lpstr>
      <vt:lpstr>Consolidado_A!Titulos_de_impressao</vt:lpstr>
      <vt:lpstr>Consolidado_Geral!Titulos_de_impressao</vt:lpstr>
      <vt:lpstr>DE!Titulos_de_impressao</vt:lpstr>
      <vt:lpstr>DG!Titulos_de_impressao</vt:lpstr>
      <vt:lpstr>DV!Titulos_de_impressao</vt:lpstr>
      <vt:lpstr>Material!Titulos_de_impressao</vt:lpstr>
      <vt:lpstr>'Uniforme e EPI'!Titulos_de_impressao</vt:lpstr>
    </vt:vector>
  </TitlesOfParts>
  <Company>MULTI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I1074249 - Fernando Silva - DAGC-1</dc:creator>
  <dc:description>Coordenação de Planejamento e Avaliação de Custos - DAGC-1</dc:description>
  <cp:lastModifiedBy>i0724338</cp:lastModifiedBy>
  <cp:lastPrinted>2012-08-07T11:32:32Z</cp:lastPrinted>
  <dcterms:created xsi:type="dcterms:W3CDTF">1999-11-03T12:35:55Z</dcterms:created>
  <dcterms:modified xsi:type="dcterms:W3CDTF">2012-10-24T17:38:44Z</dcterms:modified>
</cp:coreProperties>
</file>